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5\TOCHUCLAIDONVIHANHCHINHCACCAP\NINHBINH-HANAM-NAMDINH\"/>
    </mc:Choice>
  </mc:AlternateContent>
  <bookViews>
    <workbookView xWindow="-120" yWindow="-120" windowWidth="23250" windowHeight="13170" firstSheet="1" activeTab="1"/>
  </bookViews>
  <sheets>
    <sheet name="foxz" sheetId="10" state="veryHidden" r:id="rId1"/>
    <sheet name="Phụ lục 2.3" sheetId="6" r:id="rId2"/>
  </sheets>
  <definedNames>
    <definedName name="_xlnm.Print_Area" localSheetId="1">'Phụ lục 2.3'!$A$1:$K$146</definedName>
    <definedName name="_xlnm.Print_Titles" localSheetId="1">'Phụ lục 2.3'!$5:$7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6" l="1"/>
  <c r="F44" i="6"/>
  <c r="F45" i="6"/>
  <c r="F46" i="6"/>
  <c r="F47" i="6"/>
  <c r="F48" i="6"/>
  <c r="F49" i="6"/>
  <c r="F50" i="6"/>
  <c r="F51" i="6"/>
  <c r="F52" i="6"/>
  <c r="F53" i="6"/>
  <c r="F54" i="6"/>
  <c r="F55" i="6"/>
  <c r="F56" i="6"/>
  <c r="F57" i="6"/>
  <c r="F58" i="6"/>
  <c r="F42" i="6"/>
  <c r="H121" i="6" l="1"/>
  <c r="H122" i="6"/>
  <c r="H123" i="6"/>
  <c r="H124" i="6"/>
  <c r="H125" i="6"/>
  <c r="H126" i="6"/>
  <c r="H127" i="6"/>
  <c r="H128" i="6"/>
  <c r="H129" i="6"/>
  <c r="H130" i="6"/>
  <c r="H131" i="6"/>
  <c r="H132" i="6"/>
  <c r="H133" i="6"/>
  <c r="H134" i="6"/>
  <c r="H135" i="6"/>
  <c r="H120" i="6"/>
  <c r="F121" i="6"/>
  <c r="F122" i="6"/>
  <c r="F123" i="6"/>
  <c r="F124" i="6"/>
  <c r="F125" i="6"/>
  <c r="F126" i="6"/>
  <c r="F127" i="6"/>
  <c r="F128" i="6"/>
  <c r="F129" i="6"/>
  <c r="F130" i="6"/>
  <c r="F131" i="6"/>
  <c r="F132" i="6"/>
  <c r="F133" i="6"/>
  <c r="F134" i="6"/>
  <c r="F135" i="6"/>
  <c r="F120" i="6"/>
  <c r="D136" i="6" l="1"/>
  <c r="G144" i="6"/>
  <c r="H144" i="6" s="1"/>
  <c r="E144" i="6"/>
  <c r="F144" i="6" s="1"/>
  <c r="G143" i="6"/>
  <c r="H143" i="6" s="1"/>
  <c r="E143" i="6"/>
  <c r="F143" i="6" s="1"/>
  <c r="G142" i="6"/>
  <c r="H142" i="6" s="1"/>
  <c r="E142" i="6"/>
  <c r="F142" i="6" s="1"/>
  <c r="G141" i="6"/>
  <c r="H141" i="6" s="1"/>
  <c r="E141" i="6"/>
  <c r="F141" i="6" s="1"/>
  <c r="G140" i="6"/>
  <c r="H140" i="6" s="1"/>
  <c r="E140" i="6"/>
  <c r="F140" i="6" s="1"/>
  <c r="G139" i="6"/>
  <c r="H139" i="6" s="1"/>
  <c r="E139" i="6"/>
  <c r="F139" i="6" s="1"/>
  <c r="G138" i="6"/>
  <c r="H138" i="6" s="1"/>
  <c r="E138" i="6"/>
  <c r="F138" i="6" s="1"/>
  <c r="G137" i="6"/>
  <c r="H137" i="6" s="1"/>
  <c r="E137" i="6"/>
  <c r="F137" i="6" s="1"/>
  <c r="D110" i="6"/>
  <c r="D119" i="6"/>
  <c r="D59" i="6"/>
  <c r="D41" i="6"/>
  <c r="D9" i="6"/>
  <c r="G108" i="6"/>
  <c r="H108" i="6" s="1"/>
  <c r="F108" i="6"/>
  <c r="G107" i="6"/>
  <c r="H107" i="6" s="1"/>
  <c r="F107" i="6"/>
  <c r="G106" i="6"/>
  <c r="H106" i="6" s="1"/>
  <c r="F106" i="6"/>
  <c r="G105" i="6"/>
  <c r="H105" i="6" s="1"/>
  <c r="F105" i="6"/>
  <c r="G104" i="6"/>
  <c r="H104" i="6" s="1"/>
  <c r="F104" i="6"/>
  <c r="G103" i="6"/>
  <c r="H103" i="6" s="1"/>
  <c r="F103" i="6"/>
  <c r="G102" i="6"/>
  <c r="H102" i="6" s="1"/>
  <c r="F102" i="6"/>
  <c r="G101" i="6"/>
  <c r="H101" i="6" s="1"/>
  <c r="F101" i="6"/>
  <c r="G100" i="6"/>
  <c r="H100" i="6" s="1"/>
  <c r="F100" i="6"/>
  <c r="G99" i="6"/>
  <c r="H99" i="6" s="1"/>
  <c r="F99" i="6"/>
  <c r="G98" i="6"/>
  <c r="H98" i="6" s="1"/>
  <c r="F98" i="6"/>
  <c r="G97" i="6"/>
  <c r="H97" i="6" s="1"/>
  <c r="F97" i="6"/>
  <c r="G96" i="6"/>
  <c r="H96" i="6" s="1"/>
  <c r="F96" i="6"/>
  <c r="G95" i="6"/>
  <c r="H95" i="6" s="1"/>
  <c r="F95" i="6"/>
  <c r="G94" i="6"/>
  <c r="H94" i="6" s="1"/>
  <c r="F94" i="6"/>
  <c r="G93" i="6"/>
  <c r="H93" i="6" s="1"/>
  <c r="F93" i="6"/>
  <c r="G92" i="6"/>
  <c r="H92" i="6" s="1"/>
  <c r="F92" i="6"/>
  <c r="G91" i="6"/>
  <c r="H91" i="6" s="1"/>
  <c r="F91" i="6"/>
  <c r="G90" i="6"/>
  <c r="H90" i="6" s="1"/>
  <c r="F90" i="6"/>
  <c r="G89" i="6"/>
  <c r="H89" i="6" s="1"/>
  <c r="F89" i="6"/>
  <c r="G88" i="6"/>
  <c r="H88" i="6" s="1"/>
  <c r="F88" i="6"/>
  <c r="G87" i="6"/>
  <c r="H87" i="6" s="1"/>
  <c r="F87" i="6"/>
  <c r="G86" i="6"/>
  <c r="H86" i="6" s="1"/>
  <c r="F86" i="6"/>
  <c r="G85" i="6"/>
  <c r="H85" i="6" s="1"/>
  <c r="F85" i="6"/>
  <c r="G84" i="6"/>
  <c r="H84" i="6" s="1"/>
  <c r="F84" i="6"/>
  <c r="G83" i="6"/>
  <c r="H83" i="6" s="1"/>
  <c r="F83" i="6"/>
  <c r="G82" i="6"/>
  <c r="H82" i="6" s="1"/>
  <c r="F82" i="6"/>
  <c r="G81" i="6"/>
  <c r="H81" i="6" s="1"/>
  <c r="F81" i="6"/>
  <c r="G80" i="6"/>
  <c r="H80" i="6" s="1"/>
  <c r="F80" i="6"/>
  <c r="G79" i="6"/>
  <c r="H79" i="6" s="1"/>
  <c r="F79" i="6"/>
  <c r="G78" i="6"/>
  <c r="H78" i="6" s="1"/>
  <c r="F78" i="6"/>
  <c r="G77" i="6"/>
  <c r="H77" i="6" s="1"/>
  <c r="F77" i="6"/>
  <c r="G76" i="6"/>
  <c r="H76" i="6" s="1"/>
  <c r="F76" i="6"/>
  <c r="H75" i="6"/>
  <c r="F75" i="6"/>
  <c r="H74" i="6"/>
  <c r="F74" i="6"/>
  <c r="H73" i="6"/>
  <c r="F73" i="6"/>
  <c r="H72" i="6"/>
  <c r="F72" i="6"/>
  <c r="H71" i="6"/>
  <c r="F71" i="6"/>
  <c r="G70" i="6"/>
  <c r="H70" i="6" s="1"/>
  <c r="F70" i="6"/>
  <c r="G69" i="6"/>
  <c r="H69" i="6" s="1"/>
  <c r="E69" i="6"/>
  <c r="F69" i="6" s="1"/>
  <c r="G68" i="6"/>
  <c r="H68" i="6" s="1"/>
  <c r="E68" i="6"/>
  <c r="F68" i="6" s="1"/>
  <c r="G67" i="6"/>
  <c r="H67" i="6" s="1"/>
  <c r="E67" i="6"/>
  <c r="F67" i="6" s="1"/>
  <c r="G66" i="6"/>
  <c r="H66" i="6" s="1"/>
  <c r="E66" i="6"/>
  <c r="F66" i="6" s="1"/>
  <c r="G65" i="6"/>
  <c r="H65" i="6" s="1"/>
  <c r="E65" i="6"/>
  <c r="F65" i="6" s="1"/>
  <c r="G64" i="6"/>
  <c r="H64" i="6" s="1"/>
  <c r="E64" i="6"/>
  <c r="F64" i="6" s="1"/>
  <c r="G63" i="6"/>
  <c r="H63" i="6" s="1"/>
  <c r="E63" i="6"/>
  <c r="F63" i="6" s="1"/>
  <c r="G62" i="6"/>
  <c r="H62" i="6" s="1"/>
  <c r="E62" i="6"/>
  <c r="F62" i="6" s="1"/>
  <c r="G61" i="6"/>
  <c r="H61" i="6" s="1"/>
  <c r="E61" i="6"/>
  <c r="F61" i="6" s="1"/>
  <c r="G60" i="6"/>
  <c r="H60" i="6" s="1"/>
  <c r="E60" i="6"/>
  <c r="F60" i="6" s="1"/>
  <c r="D109" i="6" l="1"/>
  <c r="D8" i="6"/>
  <c r="F16" i="6"/>
  <c r="F21" i="6"/>
  <c r="F20" i="6"/>
  <c r="H23" i="6"/>
  <c r="H24" i="6"/>
  <c r="H25" i="6"/>
  <c r="H26" i="6"/>
  <c r="H27" i="6"/>
  <c r="H28" i="6"/>
  <c r="H29" i="6"/>
  <c r="H30" i="6"/>
  <c r="H31" i="6"/>
  <c r="H32" i="6"/>
  <c r="H33" i="6"/>
  <c r="H34" i="6"/>
  <c r="H35" i="6"/>
  <c r="H36" i="6"/>
  <c r="H37" i="6"/>
  <c r="H38" i="6"/>
  <c r="H39" i="6"/>
  <c r="H40" i="6"/>
  <c r="H22" i="6"/>
  <c r="H11" i="6"/>
  <c r="H12" i="6"/>
  <c r="H13" i="6"/>
  <c r="H14" i="6"/>
  <c r="H15" i="6"/>
  <c r="H16" i="6"/>
  <c r="H17" i="6"/>
  <c r="H18" i="6"/>
  <c r="H19" i="6"/>
  <c r="H10" i="6"/>
  <c r="H116" i="6"/>
  <c r="F19" i="6"/>
  <c r="H112" i="6"/>
  <c r="H113" i="6"/>
  <c r="H114" i="6"/>
  <c r="H115" i="6"/>
  <c r="H117" i="6"/>
  <c r="H118" i="6"/>
  <c r="H111" i="6"/>
  <c r="F116" i="6"/>
  <c r="F112" i="6"/>
  <c r="F113" i="6"/>
  <c r="F114" i="6"/>
  <c r="F115" i="6"/>
  <c r="F117" i="6"/>
  <c r="F118" i="6"/>
  <c r="F111" i="6"/>
  <c r="H20" i="6"/>
  <c r="H21" i="6"/>
  <c r="F40" i="6"/>
  <c r="F11" i="6"/>
  <c r="F12" i="6"/>
  <c r="F13" i="6"/>
  <c r="F14" i="6"/>
  <c r="F15" i="6"/>
  <c r="F17" i="6"/>
  <c r="F18" i="6"/>
  <c r="F22" i="6"/>
  <c r="F23" i="6"/>
  <c r="F24" i="6"/>
  <c r="F25" i="6"/>
  <c r="F26" i="6"/>
  <c r="F27" i="6"/>
  <c r="F28" i="6"/>
  <c r="F29" i="6"/>
  <c r="F30" i="6"/>
  <c r="F31" i="6"/>
  <c r="F32" i="6"/>
  <c r="F33" i="6"/>
  <c r="F34" i="6"/>
  <c r="F35" i="6"/>
  <c r="F36" i="6"/>
  <c r="F37" i="6"/>
  <c r="F38" i="6"/>
  <c r="F39" i="6"/>
  <c r="F10" i="6"/>
</calcChain>
</file>

<file path=xl/sharedStrings.xml><?xml version="1.0" encoding="utf-8"?>
<sst xmlns="http://schemas.openxmlformats.org/spreadsheetml/2006/main" count="303" uniqueCount="296">
  <si>
    <t>Diện tích tự nhiên</t>
  </si>
  <si>
    <t>Số TT</t>
  </si>
  <si>
    <t>Khu vực miền núi, vùng cao</t>
  </si>
  <si>
    <t>Khu vực hải đảo</t>
  </si>
  <si>
    <t>Tỷ lệ (%)</t>
  </si>
  <si>
    <t>Quy mô dân số (người)</t>
  </si>
  <si>
    <t>1</t>
  </si>
  <si>
    <t>3</t>
  </si>
  <si>
    <t>4</t>
  </si>
  <si>
    <t>5</t>
  </si>
  <si>
    <t>6</t>
  </si>
  <si>
    <t>7</t>
  </si>
  <si>
    <t>8</t>
  </si>
  <si>
    <t>9</t>
  </si>
  <si>
    <t>Ghi chú</t>
  </si>
  <si>
    <t>Phương án</t>
  </si>
  <si>
    <t>Quy mô dân số</t>
  </si>
  <si>
    <t>2</t>
  </si>
  <si>
    <t>Tên ĐVHC cẩp xã mới</t>
  </si>
  <si>
    <t>Yếu tố 
đặc thù 
(nếu có)</t>
  </si>
  <si>
    <t>Số ĐVHC cấp xã giảm</t>
  </si>
  <si>
    <t>Phường Trung Sơn</t>
  </si>
  <si>
    <t>Nhập toàn bộ phường Ninh Phúc (thành phố Hoa Lư); xã Khánh Hòa, xã Khánh Phú, xã Khánh An (huyện Yên Khánh)</t>
  </si>
  <si>
    <t>Nhập toàn bộ phường Tân Bình, xã Yên Sơn (thành phố Tam Điệp); xã Quảng Lạc (huyện Nho Quan)</t>
  </si>
  <si>
    <t>Nhập toàn bộ thị trấn Thịnh Vượng, xã Gia Hòa (huyện Gia Viễn)</t>
  </si>
  <si>
    <t>Nhập toàn bộ xã Tiến Thắng, xã Gia Phương, xã Gia Trung (huyện Gia Viễn)</t>
  </si>
  <si>
    <t>Nhập toàn bộ xã Gia Lạc, xã Gia Minh, xã Gia Phong (huyện Gia Viễn)</t>
  </si>
  <si>
    <t>Nhập toàn bộ thị trấn Nho Quan, xã Đồng Phong, xã Yên Quang (huyện Nho Quan)</t>
  </si>
  <si>
    <t>Nhập toàn bộ xã Gia Thủy, xã Gia Tường, xã Đức Long (huyện Nho Quan)</t>
  </si>
  <si>
    <t>Nhập toàn bộ xã Thạch Bình, xã Phú Sơn, xã Lạc Vân (huyện Nho Quan)</t>
  </si>
  <si>
    <t>Nhập toàn bộ xã Cúc Phương, xã Văn Phương (huyện Nho Quan)</t>
  </si>
  <si>
    <t>Nhập toàn bộ xã Thượng Hòa, xã Thanh Sơn, xã Văn Phú (huyện Nho Quan)</t>
  </si>
  <si>
    <t>Nhập toàn bộ xã Khánh Hồng, xã Khánh Nhạc (huyện Yên Khánh)</t>
  </si>
  <si>
    <t>Nhập toàn bộ xã Khánh Cường, xã Khánh Thiện, xã Khánh Lợi (huyện Yên Khánh)</t>
  </si>
  <si>
    <t>Nhập toàn bộ xã Khánh Hội, xã Khánh Mậu, xã Khánh Thủy (huyện Yên Khánh)</t>
  </si>
  <si>
    <t>Nhập toàn bộ xã Khánh Trung, xã Khánh Thành, xã Khánh Công (huyện Yên Khánh)</t>
  </si>
  <si>
    <t>Nhập toàn bộ thị trấn Yên Thịnh, xã Khánh Dương, xã Yên Hòa (huyện Yên Mô)</t>
  </si>
  <si>
    <t>Nhập toàn bộ xã Yên Phong, xã Yên Từ, xã Yên Nhân (huyện Yên Mô)</t>
  </si>
  <si>
    <t>Nhập toàn bộ xã Yên Mỹ, xã Yên Mạc, xã Yên Lâm (huyện Yên Mô)</t>
  </si>
  <si>
    <t>Nhập toàn bộ xã Yên Thành, xã Yên Đồng, xã Yên Thái (huyện Yên Mô)</t>
  </si>
  <si>
    <t>Nhập toàn bộ xã Xuân Chính, xã Chất Bình, xã Hồi Ninh (huyện Kim Sơn)</t>
  </si>
  <si>
    <t>Nhập toàn bộ xã Kim Định, xã Ân Hòa, xã Hùng Tiến (huyện Kim Sơn)</t>
  </si>
  <si>
    <t>Nhập toàn bộ xã Như Hòa, xã Quang Thiện, xã Đồng Hướng (huyện Kim Sơn)</t>
  </si>
  <si>
    <t>Nhập toàn bộ thị trấn Phát Diệm, xã Thượng Kiệm, xã Kim Chính (huyện Kim Sơn)</t>
  </si>
  <si>
    <t>Nhập toàn bộ xã Tân Thành, xã Yên Lộc, xã Lai Thành (huyện Kim Sơn)</t>
  </si>
  <si>
    <t>Nhập toàn bộ xã Định Hóa, xã Văn Hải, xã Kim Tân (huyện Kim Sơn)</t>
  </si>
  <si>
    <t>Nhập toàn bộ thị trấn Bình Minh, xã Kim Mỹ, xã Cồn Thoi (huyện Kim Sơn)</t>
  </si>
  <si>
    <t>Nhập toàn bộ xã Kim Đông, xã Kim Chung (huyện Kim Sơn); khu vực bãi bồi ven biển do huyện Kim Sơn quản lý</t>
  </si>
  <si>
    <t>Nhập toàn bộ xã Gia Thanh, xã Gia Xuân, xã Gia Trấn (huyện Gia Viễn)</t>
  </si>
  <si>
    <t>Nhập toàn bộ xã Kỳ Phú, xã Phú Long (huyện Nho Quan)</t>
  </si>
  <si>
    <t>Nhập toàn bộ xã Phú Lộc, xã Quỳnh Lưu (huyện Nho Quan)</t>
  </si>
  <si>
    <t>Nhập toàn bộ phường Ninh Mỹ, phường Ninh Khánh, phường Đông Thành, phường Tân Thành, phường Vân Giang, phường Nam Thành, phường Nam Bình, phường Bích Đào, xã Ninh Khang, xã Ninh Nhất, xã Ninh Tiến (thành phố Hoa Lư)</t>
  </si>
  <si>
    <t>Xã
Gia Viễn</t>
  </si>
  <si>
    <t>Xã
Gia Phong</t>
  </si>
  <si>
    <t>Phường
 Hoa Lư</t>
  </si>
  <si>
    <t>Phường 
Yên Thắng</t>
  </si>
  <si>
    <t>Phường 
Yên Sơn</t>
  </si>
  <si>
    <t>Phường 
Tam Điệp</t>
  </si>
  <si>
    <t>Xã 
Quỳnh Lưu</t>
  </si>
  <si>
    <t>Xã 
Thanh Sơn</t>
  </si>
  <si>
    <t>Xã 
Chất Bình</t>
  </si>
  <si>
    <t>Xã 
Kim Sơn</t>
  </si>
  <si>
    <t>Xã 
Quang Thiện</t>
  </si>
  <si>
    <t>Xã 
Phát Diệm</t>
  </si>
  <si>
    <t>Xã 
Lai Thành</t>
  </si>
  <si>
    <t>Xã 
Định Hóa</t>
  </si>
  <si>
    <t>Xã 
Bình Minh</t>
  </si>
  <si>
    <t>Xã 
Kim Đông</t>
  </si>
  <si>
    <t>Phường 
Tây Hoa Lư</t>
  </si>
  <si>
    <t>Phường
 Nam Hoa Lư</t>
  </si>
  <si>
    <t>Phường 
Đông Hoa Lư</t>
  </si>
  <si>
    <t>Xã 
Phú Long</t>
  </si>
  <si>
    <t>Xã 
Cúc Phương</t>
  </si>
  <si>
    <t>Xã 
Phú Sơn</t>
  </si>
  <si>
    <t>Xã
 Gia Tường</t>
  </si>
  <si>
    <t>Xã 
Gia Lâm</t>
  </si>
  <si>
    <t>Xã
 Nho Quan</t>
  </si>
  <si>
    <t>Xã 
Gia Trấn</t>
  </si>
  <si>
    <t>Xã 
Gia Vân</t>
  </si>
  <si>
    <t>Xã 
Gia Hưng</t>
  </si>
  <si>
    <t>Xã 
Đại Hoàng</t>
  </si>
  <si>
    <t xml:space="preserve">Nhập toàn bộ xã Gia Hưng, xã Gia Phú, xã Liên Sơn (huyện Gia Viễn) </t>
  </si>
  <si>
    <t>Xã 
Yên Khánh</t>
  </si>
  <si>
    <t>Xã 
Khánh Nhạc</t>
  </si>
  <si>
    <t>Xã 
Khánh Thiện</t>
  </si>
  <si>
    <t>Xã 
Khánh Hội</t>
  </si>
  <si>
    <t>Xã 
Khánh Trung</t>
  </si>
  <si>
    <t xml:space="preserve">Xã 
Yên Mô </t>
  </si>
  <si>
    <t>Xã 
Yên Từ</t>
  </si>
  <si>
    <t>Xã 
Yên Mạc</t>
  </si>
  <si>
    <t>Xã 
Đồng Thái</t>
  </si>
  <si>
    <t>X</t>
  </si>
  <si>
    <t>I</t>
  </si>
  <si>
    <t>Tỉnh Ninh Bình</t>
  </si>
  <si>
    <t>A</t>
  </si>
  <si>
    <t>II</t>
  </si>
  <si>
    <t>Tỉnh Hà Nam</t>
  </si>
  <si>
    <t>CÁC XÃ</t>
  </si>
  <si>
    <t>Xã 
Bình Lục</t>
  </si>
  <si>
    <t>Xã 
Bình Mỹ</t>
  </si>
  <si>
    <t>Xã 
Bình An</t>
  </si>
  <si>
    <t>Xã 
Bình Giang</t>
  </si>
  <si>
    <t>Xã 
Bình Sơn</t>
  </si>
  <si>
    <t>Xã 
Liêm Hà</t>
  </si>
  <si>
    <t>Xã 
Tân Thanh</t>
  </si>
  <si>
    <t>Xã 
Thanh Bình</t>
  </si>
  <si>
    <t>Xã 
Thanh Lâm</t>
  </si>
  <si>
    <t>Xã 
Thanh Liêm</t>
  </si>
  <si>
    <t>Xã 
Lý Nhân</t>
  </si>
  <si>
    <t>Xã 
Nam Xang</t>
  </si>
  <si>
    <t>Xã 
Bắc Lý</t>
  </si>
  <si>
    <t>Xã 
Vĩnh Trụ</t>
  </si>
  <si>
    <t>Xã 
Trần Thương</t>
  </si>
  <si>
    <t>Xã 
Nhân Hà</t>
  </si>
  <si>
    <t>Xã 
Nam Lý</t>
  </si>
  <si>
    <t>III.</t>
  </si>
  <si>
    <t>Tỉnh Nam Định</t>
  </si>
  <si>
    <t>III</t>
  </si>
  <si>
    <t>Xã 
Nam Trực</t>
  </si>
  <si>
    <t>Xã 
Nam Đồng</t>
  </si>
  <si>
    <t>Xã 
Nam Ninh</t>
  </si>
  <si>
    <t>Xã 
Nam Hồng</t>
  </si>
  <si>
    <t>Xã 
Minh Tân</t>
  </si>
  <si>
    <t>Xã 
Hiển Khánh</t>
  </si>
  <si>
    <t xml:space="preserve">Xã 
Vụ Bản  </t>
  </si>
  <si>
    <t>Xã 
Liên Minh</t>
  </si>
  <si>
    <t>Xã 
Ý Yên</t>
  </si>
  <si>
    <t>Xã 
Yên Đồng</t>
  </si>
  <si>
    <t>Xã 
Yên Cường</t>
  </si>
  <si>
    <t>Xã 
Vạn Thắng</t>
  </si>
  <si>
    <t>Xã 
Vũ Dương</t>
  </si>
  <si>
    <t>Xã 
Tân Minh</t>
  </si>
  <si>
    <t>Xã
Phong Doanh</t>
  </si>
  <si>
    <t>Xã 
Cổ Lễ</t>
  </si>
  <si>
    <t>Xã 
Ninh Giang</t>
  </si>
  <si>
    <t>Xã 
Cát Thành</t>
  </si>
  <si>
    <t>Xã 
Quang Hưng</t>
  </si>
  <si>
    <t>Xã 
Minh Thái</t>
  </si>
  <si>
    <t>Xã 
Ninh Cường</t>
  </si>
  <si>
    <t xml:space="preserve">Xã
 Xuân Trường </t>
  </si>
  <si>
    <t>Xã
 Xuân Giang</t>
  </si>
  <si>
    <t>Xã 
Xuân Hồng</t>
  </si>
  <si>
    <t xml:space="preserve">Xã 
Hải Hậu </t>
  </si>
  <si>
    <t>Xã 
Hải Tiến</t>
  </si>
  <si>
    <t>Xã 
Hải Anh</t>
  </si>
  <si>
    <t>Xã 
Hải Hưng</t>
  </si>
  <si>
    <t>Xã 
Hải An</t>
  </si>
  <si>
    <t>Xã 
Hải Quang</t>
  </si>
  <si>
    <t>Xã 
Hải Xuân</t>
  </si>
  <si>
    <t>Xã
 Hải Thịnh</t>
  </si>
  <si>
    <t>Xã 
Giao Minh</t>
  </si>
  <si>
    <t>Xã 
Giao Hoà</t>
  </si>
  <si>
    <t>Xã 
Giao Thuỷ</t>
  </si>
  <si>
    <t>Xã 
Giao Phúc</t>
  </si>
  <si>
    <t>Xã 
Giao Hưng</t>
  </si>
  <si>
    <t>Xã 
Giao Bình</t>
  </si>
  <si>
    <t>Xã 
Giao Ninh</t>
  </si>
  <si>
    <t>Xã 
Nghĩa Hưng</t>
  </si>
  <si>
    <t>Xã
 Đồng Thịnh</t>
  </si>
  <si>
    <t>Xã 
Nghĩa Sơn</t>
  </si>
  <si>
    <t>Xã 
Hồng Phong</t>
  </si>
  <si>
    <t>Xã 
Quỹ Nhất</t>
  </si>
  <si>
    <t>Xã 
Nghĩa Lâm</t>
  </si>
  <si>
    <t>Xã 
Rạng Đông</t>
  </si>
  <si>
    <t>B</t>
  </si>
  <si>
    <t>CÁC PHƯỜNG</t>
  </si>
  <si>
    <t xml:space="preserve">Phường
 Hà Nam </t>
  </si>
  <si>
    <t>Phường 
Phủ Lý</t>
  </si>
  <si>
    <t>Phường 
Phù Vân</t>
  </si>
  <si>
    <t>Phường 
Châu Sơn</t>
  </si>
  <si>
    <t>Phường 
Liêm Tuyền</t>
  </si>
  <si>
    <t xml:space="preserve">Phường 
Duy Tiên </t>
  </si>
  <si>
    <t>Phường 
Duy Tân</t>
  </si>
  <si>
    <t>Phường
 Đồng Văn</t>
  </si>
  <si>
    <t>Phường
 Duy Hà</t>
  </si>
  <si>
    <t>Phường 
Tiên Sơn</t>
  </si>
  <si>
    <t>Phường 
Lê Hồ</t>
  </si>
  <si>
    <t>Phường 
Lý Thường Kiệt</t>
  </si>
  <si>
    <t>Phường 
Kim Thanh</t>
  </si>
  <si>
    <t>Phường 
Tam Chúc</t>
  </si>
  <si>
    <t xml:space="preserve">Phường
 Kim Bảng </t>
  </si>
  <si>
    <t>Phường 
Nam Định</t>
  </si>
  <si>
    <t>Phường 
Thiên Trường</t>
  </si>
  <si>
    <t>Phường 
Vị Khê</t>
  </si>
  <si>
    <t>Phường 
Thành Nam</t>
  </si>
  <si>
    <t>Phường 
Trường Thi</t>
  </si>
  <si>
    <t>Phường 
Hồng Quang</t>
  </si>
  <si>
    <t>Phường 
Mỹ Lộc</t>
  </si>
  <si>
    <t>CỦA CÁC TỈNH NINH BÌNH, HÀ NAM VÀ NAM ĐỊNH</t>
  </si>
  <si>
    <t xml:space="preserve">THỐNG KÊ PHƯƠNG ÁN SẮP XẾP ĐƠN VỊ HÀNH CHÍNH CẤP XÃ NĂM 2025 
</t>
  </si>
  <si>
    <t>Phường 
Nguyễn Uý</t>
  </si>
  <si>
    <t>Phường 
Đông A</t>
  </si>
  <si>
    <r>
      <t>Diên tích (km</t>
    </r>
    <r>
      <rPr>
        <b/>
        <vertAlign val="superscript"/>
        <sz val="13"/>
        <color theme="1"/>
        <rFont val="Times New Roman"/>
        <family val="1"/>
      </rPr>
      <t>2</t>
    </r>
    <r>
      <rPr>
        <b/>
        <sz val="13"/>
        <color theme="1"/>
        <rFont val="Times New Roman"/>
        <family val="1"/>
      </rPr>
      <t>)</t>
    </r>
  </si>
  <si>
    <t>Xã 
Nam Minh</t>
  </si>
  <si>
    <t>Xã 
Trực Ninh</t>
  </si>
  <si>
    <t>Xã 
Xuân Hưng</t>
  </si>
  <si>
    <t xml:space="preserve">Nhập toàn bộ xã Gia Vân, xã Gia Lập , một phần của xã Gia Tân (huyện Gia Viễn) </t>
  </si>
  <si>
    <t>Nhập toàn bộ xã Gia Sơn, xã Gia Lâm , xã Xích Thổ (huyện Nho Quan)</t>
  </si>
  <si>
    <t>Nhập toàn bộ phường Ninh Giang, xã Trường Yên, xã Ninh Hòa (thành phố Hoa Lư); xã Phúc Sơn (Nho Quan); xã Gia Sinh (huyện Gia Viễn) , một phần của xã Gia Tân (thôn Tân Hối, huyện Gia Viễn)</t>
  </si>
  <si>
    <t>Nhập xã Đinh Xá, xã Trịnh Xá , phường Tân Liêm (thành phố Phủ Lý)</t>
  </si>
  <si>
    <t>Nhập phường Quế, xã Văn Xá , phường Ngọc Sơn (thị xã Kim Bảng)</t>
  </si>
  <si>
    <t>Tỷ lệ phần trăm về diện tích tự nhiên , quy mô dân số của xã, phường hình thành sau sắp xếp được tính theo quy định của Nghị quyết số 76/2025/UBTVQH15 ngày 14/4/2025 của Ủy ban Thường vụ Quốc hội về việc sắp xếp đơn vị hành chính năm 2025.</t>
  </si>
  <si>
    <t>Nhập xã Bình Nghĩa, xã Tràng An, xã Đồng Du (huyện Bình Lục)</t>
  </si>
  <si>
    <t>Nhập thị trấn Bình Mỹ, xã Đồn Xá, xã La Sơn (huyện Bình Lục)</t>
  </si>
  <si>
    <t>Nhập xã Trung Lương, xã Bình An, xã Ngọc Lũ (huyện Bình Lục)</t>
  </si>
  <si>
    <t>Nhập xã Tiêu Động, xã An Lão, xã An Đổ (huyện Bình Lục)</t>
  </si>
  <si>
    <t>Nhập xã Liêm Thuận, xã Liêm Túc, xã Liêm Sơn (huyện Thanh Liêm)</t>
  </si>
  <si>
    <t>Nhập xã Thanh Thuỷ, xã Thanh Phong, thị trấn Tân Thanh (huyện Thanh Liêm)</t>
  </si>
  <si>
    <t>Nhập xã Thanh Nghị, xã Thanh Hải, xã Thanh Tân (huyện Thanh Liêm)</t>
  </si>
  <si>
    <t>Nhập xã Thanh Tâm, xã Thanh Hương, xã Thanh Nguyên (huyện Thanh Liêm)</t>
  </si>
  <si>
    <t>Nhập xã Công Lý, xã Nguyên Lý, xã Đức Lý (huyện Lý Nhân)</t>
  </si>
  <si>
    <t xml:space="preserve">Nhập xã Chân Lý, xã Đạo Lý, xã Bắc Lý (huyện Lý Nhân) </t>
  </si>
  <si>
    <t>Nhập xã Nhân Chính, thị trấn Vĩnh Trụ, xã Nhân Khang (huyện Lý Nhân)</t>
  </si>
  <si>
    <t>Nhập xã Trần Hưng Đạo xã Nhân Nghĩa, xã Nhân Bình (huyện Lý Nhân)</t>
  </si>
  <si>
    <t>Nhập xã Xuân Khê, xã Nhân Mỹ, xã Nhân Thịnh (huyện Lý Nhân)</t>
  </si>
  <si>
    <t>Nhập xã Phú Phúc, xã Tiến Thắng, xã Hoà Hậu (huyện Lý Nhân)</t>
  </si>
  <si>
    <t>Nhập toàn bộ xã Nghĩa Hồng, xã Nghĩa Phong, xã Nghĩa Phú (huyện Nghĩa Hưng)</t>
  </si>
  <si>
    <t>Nhập toàn bộ xã Nghĩa Sơn, xã Nghĩa Lạc (huyện Nghĩa Hưng)</t>
  </si>
  <si>
    <t>Nhập toàn bộ xã Đồng Thịnh, xã Hoàng Nam (huyện Nghĩa Hưng)</t>
  </si>
  <si>
    <t>Nhập toàn bộ xã Bạch Long, xã Giao Yến, xã Giao Tân (huyện Giao Thủy)</t>
  </si>
  <si>
    <t>Nhập toàn bộ xã Giao Nhân, xã Giao Châu, xã Giao Long (huyện Giao Thủy)</t>
  </si>
  <si>
    <t>Nhập toàn bộ xã Giao Xuân, xã Giao Hà, xã Giao Hải (huyện Giao Thủy)</t>
  </si>
  <si>
    <t>Nhập toàn bộ thị trấn Giao Thủy, xã Bình Hòa (huyện Giao Thủy)</t>
  </si>
  <si>
    <t>Nhập toàn bộ xã Giao Thiện, xã Giao Hương, xã Giao Thanh (huyện Giao Thủy)</t>
  </si>
  <si>
    <t>Nhập toàn bộ toàn bộ xã Hải Xuân, xã Hải Phú, xã Hải Hòa (huyện Hải Hậu)</t>
  </si>
  <si>
    <t>Nhập toàn bộ xã Hải Quang, xã Hải Đông, xã Hải Tây (huyện Hải Hậu)</t>
  </si>
  <si>
    <t>Nhập toàn bộ xã Hải Nam, xã Hải Hưng, xã Hải Lộc (huyện Hải Hậu)</t>
  </si>
  <si>
    <t>Nhập toàn bộ xã Hải Anh, xã Hải Minh, xã Hải Đường (huyện Hải Hậu)</t>
  </si>
  <si>
    <t>Nhập toàn bộ thị trấn Yên Định, xã Hải Trung, xã Hải Long (huyện Hải Hậu)</t>
  </si>
  <si>
    <t>Nhập toàn bộ xã Xuân Châu, xã Xuân Thượng, xã Xuân Hồng, xã Xuân Thành (huyện Xuân Trường)</t>
  </si>
  <si>
    <t>Nhập toàn bộ xã Thọ Nghiệp, xã Xuân Vinh, xã Trà Lũ (huyện Xuân Trường)</t>
  </si>
  <si>
    <t>Nhập toàn bộ xã Xuân Phúc, xã Xuân Ninh, xã Xuân Ngọc, Thị trấn Xuân Trường (huyện Xuân Trường)</t>
  </si>
  <si>
    <t>Nhập toàn bộ xã Trực Đại, xã Trực Thắng, xã Trực Thái (huyện Trực Ninh)</t>
  </si>
  <si>
    <t>Nhập toàn bộ xã Trực Khang, xã Trực Mỹ, xã Trực Thuận (huyện Trực Ninh)</t>
  </si>
  <si>
    <t>Nhập toàn bộ xã Trực Thanh, xã Trực Nội, xã Trực Hưng (huyện Trực Ninh)</t>
  </si>
  <si>
    <t>Nhập toàn bộ thị trấn Cát Thành, xã Việt Hùng, xã Trực Đạo (huyện Trực Ninh)</t>
  </si>
  <si>
    <t>Nhập toàn bộ xã Trực Chính, xã Phương Định, xã Liêm Hải (huyện Trực Ninh)</t>
  </si>
  <si>
    <t>Nhập toàn bộ thị trấn Cổ Lễ, xã Trung Đông, xã Trực Tuấn (huyện Trực Ninh)</t>
  </si>
  <si>
    <t>Nhập toàn bộ xã Phú Hưng, xã Yên Thọ, xã Yên Chính (huyện Ý Yên)</t>
  </si>
  <si>
    <t>Nhập toàn bộ xã Yên Tiến, xã Yên Thắng, xã Yên Lương (huyện Ý Yên)</t>
  </si>
  <si>
    <t>Nhập toàn bộ xã Liên Minh, xã Vĩnh Hào, xã Đại Thắng (huyện Vụ Bản)</t>
  </si>
  <si>
    <t>Nhập toàn bộ xã Kim Thái, thị trấn Gôi, xã Tam Thanh (huyện Vụ Bản)</t>
  </si>
  <si>
    <t>Nhập toàn bộ xã Hiển Khánh, xã Hợp Hưng, xã Trung Thành, xã Quang Trung (huyện Vụ Bản)</t>
  </si>
  <si>
    <t>Nhập toàn bộ xã Minh Tân, xã Cộng Hòa (huyện Vụ Bản)</t>
  </si>
  <si>
    <t>Nhập toàn bộ xã Nghĩa Lâm, xã Nghĩa Hùng, xã Nghĩa Hải (huyện Nghĩa Hưng)</t>
  </si>
  <si>
    <t>Nhập toàn bộ xã Giao Phong , xã Giao Thịnh, thị trấn Quất Lâm (huyện Giao Thủy)</t>
  </si>
  <si>
    <t>Nhập toàn bộ xã Hải Châu, thị trấn Thịnh Long, xã Hải Ninh (huyện Hải Hậu)</t>
  </si>
  <si>
    <t>Nhập toàn bộ thị trấn Cồn, xã Hải Sơn, xã Hải Tân (huyện Hải Hậu)</t>
  </si>
  <si>
    <t>Nhập toàn bộ xã Nam Cường, thị trấn Nam Giang, xã Nam Hùng (huyện Nam Trực)</t>
  </si>
  <si>
    <t>Nhập phường Châu Cầu, phường Thanh Châu , phường Liêm Chính, một phần phường Quang Trung (thành phố Phủ Lý)</t>
  </si>
  <si>
    <t>Nhập xã Kim Bình, xã Phù Vân, phường Lê Hồng Phong (thành phố Phủ Lý)</t>
  </si>
  <si>
    <t>Nhập phường Bạch Thượng, phường Yên Bắc, phường Đồng Văn (thị xã Duy Tiên)</t>
  </si>
  <si>
    <t>Nhập phường Đại Cương; phường Lê Hồ, phường Đồng Hoá (thị xã Kim Bảng)</t>
  </si>
  <si>
    <t>Nhập phường Thi Sơn, xã Liên Sơn, xã Thanh Sơn (thị xã Kim Bảng)</t>
  </si>
  <si>
    <t>Nhập phường Tân Tựu, xã Hoàng Tây (thị xã Kim Bảng)</t>
  </si>
  <si>
    <t>Nhập xã Khả Phong, phường Ba Sao, xã Thuỵ Lôi (thị xã Kim Bảng)</t>
  </si>
  <si>
    <t>Nhập toàn bộ xã Hồng Thuận, xã Giao An,xã Giao Lạc (huyện Giao Thủy)</t>
  </si>
  <si>
    <t>Nhập toàn bộ  xã Hải An , xã Hải Phong, xã Hải Giang (huyện Hải Hậu)</t>
  </si>
  <si>
    <t>Nhập toàn bộ xã Yên Bình, xã Yên Mỹ, xã Yên Dương, xã Yên Ninh (huyện Ý Yên)</t>
  </si>
  <si>
    <t>Nhập toàn bộ xã Yên Trị , xã Yên Đồng, xã Yên Khang (huyện Ý Yên)</t>
  </si>
  <si>
    <t>Nhập toàn bộ xã Nam Dương, xã Bình Minh, xã Nam Tiến  (huyện Nam Trực)</t>
  </si>
  <si>
    <t>Nhập toàn bộ xã Đồng Sơn, xã Nam Thái (huyện Nam Trực)</t>
  </si>
  <si>
    <t>Nhập toàn bộ xã Tân Thịnh, xã Nam Thắng, xã Nam Hồng (huyện Nam  Trực)</t>
  </si>
  <si>
    <t>Nhập xã Bồ Đề, xã Vũ Bản, xã An Ninh (huyện Bình Lục)</t>
  </si>
  <si>
    <t>Nhập xã Liêm Phong, xã Liêm Cần, xã Thanh Hà (huyện Thanh Liêm)</t>
  </si>
  <si>
    <t>Nhập xã Hợp Lý, xã Văn Lý, xã Chính Lý (huyện Lý Nhân)</t>
  </si>
  <si>
    <t>Nhập toàn bộ xã Nam Hoa, xã Nam Lợi, xã Nam Hải, xã Nam Thanh 
(huyện Nam Trực)</t>
  </si>
  <si>
    <t>Nhập toàn bộ thị trấn Lâm, xã Yên Phong, xã Yên Khánh, xã Hồng Quang
 (huyện Ý Yên)</t>
  </si>
  <si>
    <t>Nhập toàn bộ xã Yên Nhân, xã Yên Cường, xã Yên Lộc, xã Yên Phúc 
(huyện Ý Yên)</t>
  </si>
  <si>
    <t>Nhập toàn bộ xã Tân Minh, xã Trung Nghĩa (huyện Ý Yên)</t>
  </si>
  <si>
    <t>Nhập toàn bộ toàn bộ thị trấn Ninh Cường, xã Trực Cường, xã Trực Hùng 
(huyện Trực Ninh)</t>
  </si>
  <si>
    <t>Nhập toàn bộ xã Xuân Giang, xã Xuân Tân, xã Xuân Phú (huyện Xuân Trường)</t>
  </si>
  <si>
    <t>Nhập toàn bộ xã Nghĩa Thái, xã Nghĩa Châu, xã Nghĩa Trung , thị trấn Liễu Đề (huyện Nghĩa Hưng)</t>
  </si>
  <si>
    <t>Nhập toàn bộ xã Phúc Thắng, thị trấn Rạng Đông, xã Nam Điền (huyện Nghĩa Hưng)</t>
  </si>
  <si>
    <t>Nhập toàn bộ xã Nghĩa Thành, thị trấn Quỹ Nhất, xã Nghĩa Lợi (huyện Nghĩa Hưng)</t>
  </si>
  <si>
    <t>Nhập toàn bộ phường Ninh Phong, phường Ninh Sơn, xã Ninh An, xã Ninh Vân, 
xã Ninh Hải (thành phố Hoa Lư)</t>
  </si>
  <si>
    <t>Nhập toàn bộ phường Bắc Sơn, phường Tây Sơn, xã Quang Sơn (thành phố 
Tam Điệp)</t>
  </si>
  <si>
    <t>Nhập toàn bộ phường Nam Sơn, phường Trung Sơn, xã Đông Sơn (thành phố 
Tam Điệp)</t>
  </si>
  <si>
    <t>Nhập toàn bộ phường Yên Bình (thành phố Tam Điệp); xã Khánh Thượng, 
xã Yên Thắng (huyện Yên Mô)</t>
  </si>
  <si>
    <t>Nhập phường Lam Hạ, một phần phường Quang Trung, phường Tân Hiệp (thành phố Phủ Lý); một phần phường Hoàng Đông, một phần phường Tiên Nội, một phần xã Tiên Ngoại (thị xã Duy Tiên)</t>
  </si>
  <si>
    <t xml:space="preserve">Nhập phường Châu Sơn, phường Thanh Tuyền  (thành phố Phủ Lý); thị trấn
 Kiện Khê (huyện Thanh Liêm) </t>
  </si>
  <si>
    <t>Nhập xã Chuyên Ngoại, xã Trác Văn, xã Yên Nam, một phần phường Hoà Mạc
(thị xã Duy Tiên)</t>
  </si>
  <si>
    <t>Nhập phường Châu Giang, xã Mộc Hoàn, một phần phường Hoà Mạc (thị xã
 Duy Tiên)</t>
  </si>
  <si>
    <t>Nhập phường Duy Minh, phường Duy Hải, một phần phường Hoàng Đông
(thị xã Duy Tiên)</t>
  </si>
  <si>
    <t>Nhập xã Tiên Sơn, một phần phường Tiên Nội, một phần xã Tiên Ngoại
 (thị xã Duy Tiên)</t>
  </si>
  <si>
    <t>Nhập phường Tượng Lĩnh, phường Tân Sơn, xã Nguyễn Uý (thị xã Kim Bảng)</t>
  </si>
  <si>
    <t>Nhập toàn bộ phường Lộc Hạ, xã Mỹ Tân, xã Mỹ Trung (thành phố Nam Định)</t>
  </si>
  <si>
    <t>Nhập toàn bộ phường Lộc Hòa, xã Mỹ Thắng, xã Mỹ Hà (thành phố Nam Định)</t>
  </si>
  <si>
    <t>Nhập toàn bộ phường Nam Phong (thành phố Nam Định); xã Nam Điền (huyện
 Nam Trực)</t>
  </si>
  <si>
    <t>Nhập toàn bộ phường Mỹ Xá (thành phố Nam Định), xã Đại An (huyện Vụ Bản)</t>
  </si>
  <si>
    <t>Nhập toàn bộ phường Trường Thi (thành phố Nam Định), xã Thành Lợi 
(huyện Vụ Bản)</t>
  </si>
  <si>
    <t>Nhập toàn bộ phường Nam Vân (thành phố Nam Định); xã Nghĩa An, xã 
Hồng Quang (huyện Nam Trực)</t>
  </si>
  <si>
    <t>Nhập toàn bộ phường Hưng Lộc, xã Mỹ Thuận, xã Mỹ Lộc (thành phố Nam Định)</t>
  </si>
  <si>
    <t>Nhập toàn bộ phường Lộc Vượng, Phường Vị Xuyên, phường Trần Hưng Đạo, phường Quang Trung, phường Cửa Bắc, phường Năng Tĩnh, phường Cửa Nam, 
xã Mỹ Phúc (thành phố Nam Định)</t>
  </si>
  <si>
    <t>Nhập toàn bộ thị trấn Yên Ninh, xã Khánh Cư, xã Khánh Vân, xã Khánh Hải
(huyện Yên Khánh)</t>
  </si>
  <si>
    <t>PHỤ LỤC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</si>
</sst>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1" x14ac:knownFonts="1">
    <font>
      <sz val="10"/>
      <name val="Arial"/>
    </font>
    <font>
      <sz val="8"/>
      <name val="Arial"/>
      <family val="2"/>
    </font>
    <font>
      <sz val="10"/>
      <name val="Arial"/>
      <family val="2"/>
    </font>
    <font>
      <sz val="13"/>
      <color theme="1"/>
      <name val="Times New Roman"/>
      <family val="1"/>
    </font>
    <font>
      <b/>
      <sz val="13"/>
      <color theme="1"/>
      <name val="Times New Roman"/>
      <family val="1"/>
    </font>
    <font>
      <b/>
      <vertAlign val="superscript"/>
      <sz val="13"/>
      <color theme="1"/>
      <name val="Times New Roman"/>
      <family val="1"/>
    </font>
    <font>
      <i/>
      <sz val="13"/>
      <color theme="1"/>
      <name val="Times New Roman"/>
      <family val="1"/>
    </font>
    <font>
      <b/>
      <i/>
      <u/>
      <sz val="13"/>
      <color theme="1"/>
      <name val="Times New Roman"/>
      <family val="1"/>
    </font>
    <font>
      <b/>
      <sz val="13"/>
      <color theme="1"/>
      <name val="Arial"/>
      <family val="2"/>
    </font>
    <font>
      <sz val="13"/>
      <color theme="1"/>
      <name val="Arial"/>
      <family val="2"/>
    </font>
    <font>
      <b/>
      <sz val="18"/>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2">
    <xf numFmtId="0" fontId="0" fillId="0" borderId="0"/>
    <xf numFmtId="164" fontId="2" fillId="0" borderId="0" applyFont="0" applyFill="0" applyBorder="0" applyAlignment="0" applyProtection="0"/>
  </cellStyleXfs>
  <cellXfs count="60">
    <xf numFmtId="0" fontId="0" fillId="0" borderId="0" xfId="0"/>
    <xf numFmtId="2"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2" fontId="3" fillId="0" borderId="4" xfId="0" applyNumberFormat="1" applyFont="1" applyBorder="1" applyAlignment="1">
      <alignment horizontal="center" vertical="center"/>
    </xf>
    <xf numFmtId="0" fontId="3" fillId="0" borderId="0" xfId="0" applyFont="1" applyAlignment="1">
      <alignment horizontal="center"/>
    </xf>
    <xf numFmtId="2" fontId="3" fillId="0" borderId="0" xfId="0" applyNumberFormat="1" applyFont="1"/>
    <xf numFmtId="3" fontId="3" fillId="0" borderId="0" xfId="0" applyNumberFormat="1" applyFont="1"/>
    <xf numFmtId="0" fontId="3" fillId="0" borderId="0" xfId="0" applyFont="1"/>
    <xf numFmtId="2" fontId="4" fillId="0" borderId="4"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2" fontId="6" fillId="0" borderId="4"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0" xfId="0" applyFont="1"/>
    <xf numFmtId="0" fontId="4" fillId="0" borderId="4" xfId="0" applyFont="1" applyBorder="1" applyAlignment="1">
      <alignment horizontal="center" vertical="center"/>
    </xf>
    <xf numFmtId="0" fontId="4" fillId="0" borderId="4" xfId="0" applyFont="1" applyBorder="1" applyAlignment="1">
      <alignment vertical="center"/>
    </xf>
    <xf numFmtId="0" fontId="3" fillId="0" borderId="4" xfId="0" applyFont="1" applyBorder="1" applyAlignment="1">
      <alignment horizontal="center" vertical="center"/>
    </xf>
    <xf numFmtId="3" fontId="3" fillId="0" borderId="4" xfId="0" applyNumberFormat="1" applyFont="1" applyBorder="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xf>
    <xf numFmtId="2" fontId="3" fillId="2" borderId="4"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xf numFmtId="4"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2" fontId="3" fillId="0" borderId="6" xfId="0" applyNumberFormat="1" applyFont="1" applyBorder="1" applyAlignment="1">
      <alignment horizontal="center" vertical="center"/>
    </xf>
    <xf numFmtId="2" fontId="4" fillId="0" borderId="4" xfId="0" applyNumberFormat="1" applyFont="1" applyBorder="1" applyAlignment="1">
      <alignment horizontal="left" vertical="center"/>
    </xf>
    <xf numFmtId="3" fontId="4" fillId="0" borderId="4" xfId="0" applyNumberFormat="1"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xf>
    <xf numFmtId="2" fontId="4" fillId="0" borderId="4" xfId="0" applyNumberFormat="1" applyFont="1" applyBorder="1" applyAlignment="1">
      <alignment horizontal="center" vertical="center"/>
    </xf>
    <xf numFmtId="3" fontId="4" fillId="0" borderId="4" xfId="0" applyNumberFormat="1" applyFont="1" applyBorder="1" applyAlignment="1">
      <alignment horizontal="center" vertical="center"/>
    </xf>
    <xf numFmtId="0" fontId="9" fillId="0" borderId="0" xfId="0" applyFont="1" applyAlignment="1">
      <alignment horizontal="left"/>
    </xf>
    <xf numFmtId="0" fontId="9" fillId="0" borderId="0" xfId="0" applyFont="1" applyAlignment="1">
      <alignment horizontal="center"/>
    </xf>
    <xf numFmtId="2" fontId="9" fillId="0" borderId="0" xfId="0" applyNumberFormat="1" applyFont="1"/>
    <xf numFmtId="0" fontId="3" fillId="0" borderId="0" xfId="0" applyFont="1" applyAlignment="1">
      <alignment horizontal="left"/>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left" vertical="top"/>
    </xf>
    <xf numFmtId="0" fontId="8" fillId="0" borderId="5" xfId="0" applyFont="1" applyBorder="1" applyAlignment="1">
      <alignment horizontal="lef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4099560</xdr:colOff>
      <xdr:row>3</xdr:row>
      <xdr:rowOff>60960</xdr:rowOff>
    </xdr:from>
    <xdr:to>
      <xdr:col>4</xdr:col>
      <xdr:colOff>68580</xdr:colOff>
      <xdr:row>3</xdr:row>
      <xdr:rowOff>68580</xdr:rowOff>
    </xdr:to>
    <xdr:cxnSp macro="">
      <xdr:nvCxnSpPr>
        <xdr:cNvPr id="6" name="Straight Connector 5"/>
        <xdr:cNvCxnSpPr/>
      </xdr:nvCxnSpPr>
      <xdr:spPr>
        <a:xfrm flipV="1">
          <a:off x="5806440" y="815340"/>
          <a:ext cx="233172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6"/>
  <sheetViews>
    <sheetView tabSelected="1" zoomScaleNormal="100" workbookViewId="0">
      <selection sqref="A1:K1"/>
    </sheetView>
  </sheetViews>
  <sheetFormatPr defaultColWidth="9.140625" defaultRowHeight="16.5" x14ac:dyDescent="0.25"/>
  <cols>
    <col min="1" max="1" width="6.85546875" style="12" customWidth="1"/>
    <col min="2" max="2" width="18" style="9" customWidth="1"/>
    <col min="3" max="3" width="82.7109375" style="45" customWidth="1"/>
    <col min="4" max="4" width="10" style="9" customWidth="1"/>
    <col min="5" max="5" width="10.7109375" style="10" customWidth="1"/>
    <col min="6" max="6" width="11.5703125" style="10" customWidth="1"/>
    <col min="7" max="7" width="11.5703125" style="11" customWidth="1"/>
    <col min="8" max="8" width="11.5703125" style="10" customWidth="1"/>
    <col min="9" max="11" width="14.28515625" style="12" customWidth="1"/>
    <col min="12" max="16384" width="9.140625" style="12"/>
  </cols>
  <sheetData>
    <row r="1" spans="1:11" ht="19.899999999999999" customHeight="1" x14ac:dyDescent="0.25">
      <c r="A1" s="57" t="s">
        <v>295</v>
      </c>
      <c r="B1" s="57"/>
      <c r="C1" s="57"/>
      <c r="D1" s="57"/>
      <c r="E1" s="57"/>
      <c r="F1" s="57"/>
      <c r="G1" s="57"/>
      <c r="H1" s="57"/>
      <c r="I1" s="57"/>
      <c r="J1" s="57"/>
      <c r="K1" s="57"/>
    </row>
    <row r="2" spans="1:11" ht="25.15" customHeight="1" x14ac:dyDescent="0.25">
      <c r="A2" s="48" t="s">
        <v>189</v>
      </c>
      <c r="B2" s="49"/>
      <c r="C2" s="49"/>
      <c r="D2" s="49"/>
      <c r="E2" s="49"/>
      <c r="F2" s="49"/>
      <c r="G2" s="49"/>
      <c r="H2" s="49"/>
      <c r="I2" s="49"/>
      <c r="J2" s="49"/>
      <c r="K2" s="49"/>
    </row>
    <row r="3" spans="1:11" ht="25.15" customHeight="1" x14ac:dyDescent="0.25">
      <c r="A3" s="50" t="s">
        <v>188</v>
      </c>
      <c r="B3" s="50"/>
      <c r="C3" s="50"/>
      <c r="D3" s="50"/>
      <c r="E3" s="50"/>
      <c r="F3" s="50"/>
      <c r="G3" s="50"/>
      <c r="H3" s="50"/>
      <c r="I3" s="50"/>
      <c r="J3" s="50"/>
      <c r="K3" s="50"/>
    </row>
    <row r="5" spans="1:11" ht="19.899999999999999" customHeight="1" x14ac:dyDescent="0.25">
      <c r="A5" s="52" t="s">
        <v>1</v>
      </c>
      <c r="B5" s="52" t="s">
        <v>18</v>
      </c>
      <c r="C5" s="53" t="s">
        <v>15</v>
      </c>
      <c r="D5" s="52" t="s">
        <v>20</v>
      </c>
      <c r="E5" s="51" t="s">
        <v>0</v>
      </c>
      <c r="F5" s="51"/>
      <c r="G5" s="51" t="s">
        <v>16</v>
      </c>
      <c r="H5" s="51"/>
      <c r="I5" s="52" t="s">
        <v>2</v>
      </c>
      <c r="J5" s="52" t="s">
        <v>3</v>
      </c>
      <c r="K5" s="52" t="s">
        <v>19</v>
      </c>
    </row>
    <row r="6" spans="1:11" ht="55.15" customHeight="1" x14ac:dyDescent="0.25">
      <c r="A6" s="52"/>
      <c r="B6" s="52"/>
      <c r="C6" s="54"/>
      <c r="D6" s="52"/>
      <c r="E6" s="13" t="s">
        <v>192</v>
      </c>
      <c r="F6" s="13" t="s">
        <v>4</v>
      </c>
      <c r="G6" s="14" t="s">
        <v>5</v>
      </c>
      <c r="H6" s="13" t="s">
        <v>4</v>
      </c>
      <c r="I6" s="52"/>
      <c r="J6" s="52"/>
      <c r="K6" s="52"/>
    </row>
    <row r="7" spans="1:11" s="19" customFormat="1" ht="18" customHeight="1" x14ac:dyDescent="0.25">
      <c r="A7" s="15"/>
      <c r="B7" s="15" t="s">
        <v>6</v>
      </c>
      <c r="C7" s="16" t="s">
        <v>17</v>
      </c>
      <c r="D7" s="15"/>
      <c r="E7" s="17" t="s">
        <v>7</v>
      </c>
      <c r="F7" s="17" t="s">
        <v>8</v>
      </c>
      <c r="G7" s="18" t="s">
        <v>9</v>
      </c>
      <c r="H7" s="17" t="s">
        <v>10</v>
      </c>
      <c r="I7" s="15" t="s">
        <v>11</v>
      </c>
      <c r="J7" s="15" t="s">
        <v>12</v>
      </c>
      <c r="K7" s="15" t="s">
        <v>13</v>
      </c>
    </row>
    <row r="8" spans="1:11" ht="30" customHeight="1" x14ac:dyDescent="0.25">
      <c r="A8" s="20" t="s">
        <v>94</v>
      </c>
      <c r="B8" s="59" t="s">
        <v>97</v>
      </c>
      <c r="C8" s="59"/>
      <c r="D8" s="20">
        <f>D9+D41+D59</f>
        <v>191</v>
      </c>
      <c r="E8" s="21"/>
      <c r="F8" s="21"/>
      <c r="G8" s="21"/>
      <c r="H8" s="21"/>
      <c r="I8" s="21"/>
      <c r="J8" s="21"/>
      <c r="K8" s="21"/>
    </row>
    <row r="9" spans="1:11" ht="30" customHeight="1" x14ac:dyDescent="0.25">
      <c r="A9" s="20" t="s">
        <v>92</v>
      </c>
      <c r="B9" s="59" t="s">
        <v>93</v>
      </c>
      <c r="C9" s="59"/>
      <c r="D9" s="20">
        <f>SUM(D10:D40)</f>
        <v>57</v>
      </c>
      <c r="E9" s="21"/>
      <c r="F9" s="21"/>
      <c r="G9" s="21"/>
      <c r="H9" s="21"/>
      <c r="I9" s="21"/>
      <c r="J9" s="21"/>
      <c r="K9" s="21"/>
    </row>
    <row r="10" spans="1:11" ht="33" x14ac:dyDescent="0.25">
      <c r="A10" s="22">
        <v>1</v>
      </c>
      <c r="B10" s="2" t="s">
        <v>52</v>
      </c>
      <c r="C10" s="4" t="s">
        <v>24</v>
      </c>
      <c r="D10" s="22">
        <v>1</v>
      </c>
      <c r="E10" s="8">
        <v>39.799999999999997</v>
      </c>
      <c r="F10" s="8">
        <f>E10/21*100</f>
        <v>189.52380952380952</v>
      </c>
      <c r="G10" s="23">
        <v>28921</v>
      </c>
      <c r="H10" s="8">
        <f>G10/16000*100</f>
        <v>180.75624999999999</v>
      </c>
      <c r="I10" s="22"/>
      <c r="J10" s="22"/>
      <c r="K10" s="22"/>
    </row>
    <row r="11" spans="1:11" ht="33" x14ac:dyDescent="0.25">
      <c r="A11" s="22">
        <v>2</v>
      </c>
      <c r="B11" s="2" t="s">
        <v>80</v>
      </c>
      <c r="C11" s="4" t="s">
        <v>25</v>
      </c>
      <c r="D11" s="22">
        <v>2</v>
      </c>
      <c r="E11" s="8">
        <v>23.75</v>
      </c>
      <c r="F11" s="8">
        <f t="shared" ref="F11:F39" si="0">E11/21*100</f>
        <v>113.09523809523809</v>
      </c>
      <c r="G11" s="23">
        <v>23848</v>
      </c>
      <c r="H11" s="8">
        <f t="shared" ref="H11:H19" si="1">G11/16000*100</f>
        <v>149.04999999999998</v>
      </c>
      <c r="I11" s="22"/>
      <c r="J11" s="22"/>
      <c r="K11" s="22"/>
    </row>
    <row r="12" spans="1:11" ht="33" x14ac:dyDescent="0.25">
      <c r="A12" s="22">
        <v>3</v>
      </c>
      <c r="B12" s="2" t="s">
        <v>79</v>
      </c>
      <c r="C12" s="4" t="s">
        <v>81</v>
      </c>
      <c r="D12" s="22">
        <v>2</v>
      </c>
      <c r="E12" s="8">
        <v>28.37</v>
      </c>
      <c r="F12" s="8">
        <f t="shared" si="0"/>
        <v>135.0952380952381</v>
      </c>
      <c r="G12" s="23">
        <v>21669</v>
      </c>
      <c r="H12" s="8">
        <f t="shared" si="1"/>
        <v>135.43125000000001</v>
      </c>
      <c r="I12" s="22"/>
      <c r="J12" s="22"/>
      <c r="K12" s="22"/>
    </row>
    <row r="13" spans="1:11" ht="33" x14ac:dyDescent="0.25">
      <c r="A13" s="22">
        <v>4</v>
      </c>
      <c r="B13" s="2" t="s">
        <v>53</v>
      </c>
      <c r="C13" s="4" t="s">
        <v>26</v>
      </c>
      <c r="D13" s="22">
        <v>2</v>
      </c>
      <c r="E13" s="8">
        <v>18.53</v>
      </c>
      <c r="F13" s="8">
        <f t="shared" si="0"/>
        <v>88.238095238095255</v>
      </c>
      <c r="G13" s="23">
        <v>13034</v>
      </c>
      <c r="H13" s="8">
        <f t="shared" si="1"/>
        <v>81.462500000000006</v>
      </c>
      <c r="I13" s="22"/>
      <c r="J13" s="22"/>
      <c r="K13" s="22"/>
    </row>
    <row r="14" spans="1:11" ht="33" x14ac:dyDescent="0.25">
      <c r="A14" s="22">
        <v>5</v>
      </c>
      <c r="B14" s="2" t="s">
        <v>78</v>
      </c>
      <c r="C14" s="4" t="s">
        <v>196</v>
      </c>
      <c r="D14" s="22">
        <v>2</v>
      </c>
      <c r="E14" s="8">
        <v>26.94</v>
      </c>
      <c r="F14" s="8">
        <f t="shared" si="0"/>
        <v>128.28571428571428</v>
      </c>
      <c r="G14" s="23">
        <v>25920</v>
      </c>
      <c r="H14" s="8">
        <f t="shared" si="1"/>
        <v>162</v>
      </c>
      <c r="I14" s="22"/>
      <c r="J14" s="22"/>
      <c r="K14" s="22"/>
    </row>
    <row r="15" spans="1:11" ht="33" x14ac:dyDescent="0.25">
      <c r="A15" s="22">
        <v>6</v>
      </c>
      <c r="B15" s="2" t="s">
        <v>77</v>
      </c>
      <c r="C15" s="4" t="s">
        <v>48</v>
      </c>
      <c r="D15" s="22">
        <v>2</v>
      </c>
      <c r="E15" s="8">
        <v>18.760000000000002</v>
      </c>
      <c r="F15" s="8">
        <f t="shared" si="0"/>
        <v>89.333333333333343</v>
      </c>
      <c r="G15" s="23">
        <v>20619</v>
      </c>
      <c r="H15" s="8">
        <f t="shared" si="1"/>
        <v>128.86875000000001</v>
      </c>
      <c r="I15" s="22"/>
      <c r="J15" s="22"/>
      <c r="K15" s="22"/>
    </row>
    <row r="16" spans="1:11" ht="33" x14ac:dyDescent="0.25">
      <c r="A16" s="22">
        <v>7</v>
      </c>
      <c r="B16" s="2" t="s">
        <v>76</v>
      </c>
      <c r="C16" s="4" t="s">
        <v>27</v>
      </c>
      <c r="D16" s="22">
        <v>2</v>
      </c>
      <c r="E16" s="8">
        <v>32.619999999999997</v>
      </c>
      <c r="F16" s="8">
        <f>E16/21*100</f>
        <v>155.33333333333331</v>
      </c>
      <c r="G16" s="23">
        <v>33204</v>
      </c>
      <c r="H16" s="8">
        <f t="shared" si="1"/>
        <v>207.52500000000001</v>
      </c>
      <c r="I16" s="22"/>
      <c r="J16" s="22"/>
      <c r="K16" s="22"/>
    </row>
    <row r="17" spans="1:11" ht="33" x14ac:dyDescent="0.25">
      <c r="A17" s="22">
        <v>8</v>
      </c>
      <c r="B17" s="2" t="s">
        <v>75</v>
      </c>
      <c r="C17" s="4" t="s">
        <v>197</v>
      </c>
      <c r="D17" s="22">
        <v>2</v>
      </c>
      <c r="E17" s="8">
        <v>37.61</v>
      </c>
      <c r="F17" s="8">
        <f t="shared" si="0"/>
        <v>179.09523809523807</v>
      </c>
      <c r="G17" s="23">
        <v>20189</v>
      </c>
      <c r="H17" s="8">
        <f t="shared" si="1"/>
        <v>126.18125000000001</v>
      </c>
      <c r="I17" s="22"/>
      <c r="J17" s="22"/>
      <c r="K17" s="22"/>
    </row>
    <row r="18" spans="1:11" ht="33" x14ac:dyDescent="0.25">
      <c r="A18" s="22">
        <v>9</v>
      </c>
      <c r="B18" s="2" t="s">
        <v>74</v>
      </c>
      <c r="C18" s="4" t="s">
        <v>28</v>
      </c>
      <c r="D18" s="22">
        <v>2</v>
      </c>
      <c r="E18" s="8">
        <v>27.09</v>
      </c>
      <c r="F18" s="8">
        <f t="shared" si="0"/>
        <v>129</v>
      </c>
      <c r="G18" s="23">
        <v>19489</v>
      </c>
      <c r="H18" s="8">
        <f t="shared" si="1"/>
        <v>121.80625000000001</v>
      </c>
      <c r="I18" s="22"/>
      <c r="J18" s="22"/>
      <c r="K18" s="22"/>
    </row>
    <row r="19" spans="1:11" ht="33" x14ac:dyDescent="0.25">
      <c r="A19" s="22">
        <v>10</v>
      </c>
      <c r="B19" s="24" t="s">
        <v>73</v>
      </c>
      <c r="C19" s="25" t="s">
        <v>29</v>
      </c>
      <c r="D19" s="26">
        <v>2</v>
      </c>
      <c r="E19" s="27">
        <v>41.12</v>
      </c>
      <c r="F19" s="27">
        <f>E19/21*100</f>
        <v>195.8095238095238</v>
      </c>
      <c r="G19" s="28">
        <v>22712</v>
      </c>
      <c r="H19" s="8">
        <f t="shared" si="1"/>
        <v>141.94999999999999</v>
      </c>
      <c r="I19" s="26"/>
      <c r="J19" s="26"/>
      <c r="K19" s="26"/>
    </row>
    <row r="20" spans="1:11" ht="33" x14ac:dyDescent="0.25">
      <c r="A20" s="22">
        <v>11</v>
      </c>
      <c r="B20" s="24" t="s">
        <v>72</v>
      </c>
      <c r="C20" s="25" t="s">
        <v>30</v>
      </c>
      <c r="D20" s="26">
        <v>1</v>
      </c>
      <c r="E20" s="27">
        <v>132.68</v>
      </c>
      <c r="F20" s="27">
        <f>E20/70*100</f>
        <v>189.54285714285714</v>
      </c>
      <c r="G20" s="28">
        <v>8650</v>
      </c>
      <c r="H20" s="27">
        <f t="shared" ref="H20:H21" si="2">G20/5000*100</f>
        <v>173</v>
      </c>
      <c r="I20" s="26" t="s">
        <v>91</v>
      </c>
      <c r="J20" s="26"/>
      <c r="K20" s="26"/>
    </row>
    <row r="21" spans="1:11" ht="33" x14ac:dyDescent="0.25">
      <c r="A21" s="22">
        <v>12</v>
      </c>
      <c r="B21" s="2" t="s">
        <v>71</v>
      </c>
      <c r="C21" s="4" t="s">
        <v>49</v>
      </c>
      <c r="D21" s="22">
        <v>1</v>
      </c>
      <c r="E21" s="8">
        <v>74.790000000000006</v>
      </c>
      <c r="F21" s="27">
        <f>E21/70*100</f>
        <v>106.84285714285716</v>
      </c>
      <c r="G21" s="23">
        <v>13685</v>
      </c>
      <c r="H21" s="8">
        <f t="shared" si="2"/>
        <v>273.7</v>
      </c>
      <c r="I21" s="22" t="s">
        <v>91</v>
      </c>
      <c r="J21" s="22"/>
      <c r="K21" s="22"/>
    </row>
    <row r="22" spans="1:11" ht="33" x14ac:dyDescent="0.25">
      <c r="A22" s="22">
        <v>13</v>
      </c>
      <c r="B22" s="2" t="s">
        <v>59</v>
      </c>
      <c r="C22" s="4" t="s">
        <v>31</v>
      </c>
      <c r="D22" s="22">
        <v>2</v>
      </c>
      <c r="E22" s="8">
        <v>35.69</v>
      </c>
      <c r="F22" s="8">
        <f t="shared" si="0"/>
        <v>169.95238095238093</v>
      </c>
      <c r="G22" s="23">
        <v>23758</v>
      </c>
      <c r="H22" s="8">
        <f>G22/16000*100</f>
        <v>148.48749999999998</v>
      </c>
      <c r="I22" s="22"/>
      <c r="J22" s="22"/>
      <c r="K22" s="22"/>
    </row>
    <row r="23" spans="1:11" ht="33" x14ac:dyDescent="0.25">
      <c r="A23" s="22">
        <v>14</v>
      </c>
      <c r="B23" s="2" t="s">
        <v>58</v>
      </c>
      <c r="C23" s="4" t="s">
        <v>50</v>
      </c>
      <c r="D23" s="22">
        <v>1</v>
      </c>
      <c r="E23" s="8">
        <v>26.49</v>
      </c>
      <c r="F23" s="8">
        <f t="shared" si="0"/>
        <v>126.14285714285714</v>
      </c>
      <c r="G23" s="23">
        <v>18035</v>
      </c>
      <c r="H23" s="8">
        <f t="shared" ref="H23:H40" si="3">G23/16000*100</f>
        <v>112.71875</v>
      </c>
      <c r="I23" s="22"/>
      <c r="J23" s="22"/>
      <c r="K23" s="22"/>
    </row>
    <row r="24" spans="1:11" ht="33" x14ac:dyDescent="0.25">
      <c r="A24" s="22">
        <v>15</v>
      </c>
      <c r="B24" s="2" t="s">
        <v>82</v>
      </c>
      <c r="C24" s="4" t="s">
        <v>294</v>
      </c>
      <c r="D24" s="22">
        <v>3</v>
      </c>
      <c r="E24" s="8">
        <v>29.88</v>
      </c>
      <c r="F24" s="8">
        <f t="shared" si="0"/>
        <v>142.28571428571428</v>
      </c>
      <c r="G24" s="23">
        <v>40134</v>
      </c>
      <c r="H24" s="8">
        <f t="shared" si="3"/>
        <v>250.83750000000001</v>
      </c>
      <c r="I24" s="22"/>
      <c r="J24" s="22"/>
      <c r="K24" s="22"/>
    </row>
    <row r="25" spans="1:11" ht="33" x14ac:dyDescent="0.25">
      <c r="A25" s="22">
        <v>16</v>
      </c>
      <c r="B25" s="24" t="s">
        <v>83</v>
      </c>
      <c r="C25" s="25" t="s">
        <v>32</v>
      </c>
      <c r="D25" s="26">
        <v>1</v>
      </c>
      <c r="E25" s="27">
        <v>19.579999999999998</v>
      </c>
      <c r="F25" s="27">
        <f t="shared" si="0"/>
        <v>93.238095238095227</v>
      </c>
      <c r="G25" s="28">
        <v>25612</v>
      </c>
      <c r="H25" s="8">
        <f t="shared" si="3"/>
        <v>160.07499999999999</v>
      </c>
      <c r="I25" s="26"/>
      <c r="J25" s="26"/>
      <c r="K25" s="26"/>
    </row>
    <row r="26" spans="1:11" ht="33" x14ac:dyDescent="0.25">
      <c r="A26" s="22">
        <v>17</v>
      </c>
      <c r="B26" s="2" t="s">
        <v>84</v>
      </c>
      <c r="C26" s="4" t="s">
        <v>33</v>
      </c>
      <c r="D26" s="22">
        <v>2</v>
      </c>
      <c r="E26" s="8">
        <v>24.51</v>
      </c>
      <c r="F26" s="8">
        <f t="shared" si="0"/>
        <v>116.71428571428572</v>
      </c>
      <c r="G26" s="23">
        <v>25693</v>
      </c>
      <c r="H26" s="8">
        <f t="shared" si="3"/>
        <v>160.58125000000001</v>
      </c>
      <c r="I26" s="22"/>
      <c r="J26" s="22"/>
      <c r="K26" s="22"/>
    </row>
    <row r="27" spans="1:11" ht="33" x14ac:dyDescent="0.25">
      <c r="A27" s="22">
        <v>18</v>
      </c>
      <c r="B27" s="2" t="s">
        <v>85</v>
      </c>
      <c r="C27" s="4" t="s">
        <v>34</v>
      </c>
      <c r="D27" s="22">
        <v>2</v>
      </c>
      <c r="E27" s="8">
        <v>22.89</v>
      </c>
      <c r="F27" s="8">
        <f t="shared" si="0"/>
        <v>109.00000000000001</v>
      </c>
      <c r="G27" s="23">
        <v>23641</v>
      </c>
      <c r="H27" s="8">
        <f t="shared" si="3"/>
        <v>147.75624999999999</v>
      </c>
      <c r="I27" s="22"/>
      <c r="J27" s="22"/>
      <c r="K27" s="22"/>
    </row>
    <row r="28" spans="1:11" ht="33" x14ac:dyDescent="0.25">
      <c r="A28" s="22">
        <v>19</v>
      </c>
      <c r="B28" s="2" t="s">
        <v>86</v>
      </c>
      <c r="C28" s="4" t="s">
        <v>35</v>
      </c>
      <c r="D28" s="22">
        <v>2</v>
      </c>
      <c r="E28" s="8">
        <v>26.42</v>
      </c>
      <c r="F28" s="8">
        <f t="shared" si="0"/>
        <v>125.80952380952381</v>
      </c>
      <c r="G28" s="23">
        <v>26453</v>
      </c>
      <c r="H28" s="8">
        <f t="shared" si="3"/>
        <v>165.33124999999998</v>
      </c>
      <c r="I28" s="22"/>
      <c r="J28" s="22"/>
      <c r="K28" s="22"/>
    </row>
    <row r="29" spans="1:11" ht="33" x14ac:dyDescent="0.25">
      <c r="A29" s="22">
        <v>20</v>
      </c>
      <c r="B29" s="2" t="s">
        <v>87</v>
      </c>
      <c r="C29" s="4" t="s">
        <v>36</v>
      </c>
      <c r="D29" s="22">
        <v>2</v>
      </c>
      <c r="E29" s="8">
        <v>28.6</v>
      </c>
      <c r="F29" s="8">
        <f t="shared" si="0"/>
        <v>136.1904761904762</v>
      </c>
      <c r="G29" s="23">
        <v>35415</v>
      </c>
      <c r="H29" s="8">
        <f t="shared" si="3"/>
        <v>221.34375</v>
      </c>
      <c r="I29" s="22"/>
      <c r="J29" s="22"/>
      <c r="K29" s="22"/>
    </row>
    <row r="30" spans="1:11" ht="33" x14ac:dyDescent="0.25">
      <c r="A30" s="22">
        <v>21</v>
      </c>
      <c r="B30" s="2" t="s">
        <v>88</v>
      </c>
      <c r="C30" s="4" t="s">
        <v>37</v>
      </c>
      <c r="D30" s="22">
        <v>2</v>
      </c>
      <c r="E30" s="8">
        <v>23.98</v>
      </c>
      <c r="F30" s="8">
        <f t="shared" si="0"/>
        <v>114.1904761904762</v>
      </c>
      <c r="G30" s="23">
        <v>31917</v>
      </c>
      <c r="H30" s="8">
        <f t="shared" si="3"/>
        <v>199.48125000000002</v>
      </c>
      <c r="I30" s="22"/>
      <c r="J30" s="22"/>
      <c r="K30" s="22"/>
    </row>
    <row r="31" spans="1:11" ht="33" x14ac:dyDescent="0.25">
      <c r="A31" s="22">
        <v>22</v>
      </c>
      <c r="B31" s="2" t="s">
        <v>89</v>
      </c>
      <c r="C31" s="4" t="s">
        <v>38</v>
      </c>
      <c r="D31" s="22">
        <v>2</v>
      </c>
      <c r="E31" s="8">
        <v>20.6</v>
      </c>
      <c r="F31" s="8">
        <f t="shared" si="0"/>
        <v>98.095238095238102</v>
      </c>
      <c r="G31" s="23">
        <v>22524</v>
      </c>
      <c r="H31" s="8">
        <f t="shared" si="3"/>
        <v>140.77500000000001</v>
      </c>
      <c r="I31" s="22"/>
      <c r="J31" s="22"/>
      <c r="K31" s="22"/>
    </row>
    <row r="32" spans="1:11" ht="33" x14ac:dyDescent="0.25">
      <c r="A32" s="22">
        <v>23</v>
      </c>
      <c r="B32" s="2" t="s">
        <v>90</v>
      </c>
      <c r="C32" s="4" t="s">
        <v>39</v>
      </c>
      <c r="D32" s="22">
        <v>2</v>
      </c>
      <c r="E32" s="8">
        <v>47.6</v>
      </c>
      <c r="F32" s="8">
        <f t="shared" si="0"/>
        <v>226.66666666666666</v>
      </c>
      <c r="G32" s="23">
        <v>24049</v>
      </c>
      <c r="H32" s="8">
        <f t="shared" si="3"/>
        <v>150.30625000000001</v>
      </c>
      <c r="I32" s="22"/>
      <c r="J32" s="22"/>
      <c r="K32" s="22"/>
    </row>
    <row r="33" spans="1:11" ht="33" x14ac:dyDescent="0.25">
      <c r="A33" s="22">
        <v>24</v>
      </c>
      <c r="B33" s="2" t="s">
        <v>60</v>
      </c>
      <c r="C33" s="4" t="s">
        <v>40</v>
      </c>
      <c r="D33" s="22">
        <v>2</v>
      </c>
      <c r="E33" s="8">
        <v>18.600000000000001</v>
      </c>
      <c r="F33" s="8">
        <f t="shared" si="0"/>
        <v>88.571428571428584</v>
      </c>
      <c r="G33" s="23">
        <v>17237</v>
      </c>
      <c r="H33" s="8">
        <f t="shared" si="3"/>
        <v>107.73124999999999</v>
      </c>
      <c r="I33" s="22"/>
      <c r="J33" s="22"/>
      <c r="K33" s="22"/>
    </row>
    <row r="34" spans="1:11" ht="33" x14ac:dyDescent="0.25">
      <c r="A34" s="22">
        <v>25</v>
      </c>
      <c r="B34" s="2" t="s">
        <v>61</v>
      </c>
      <c r="C34" s="4" t="s">
        <v>41</v>
      </c>
      <c r="D34" s="22">
        <v>2</v>
      </c>
      <c r="E34" s="8">
        <v>17.600000000000001</v>
      </c>
      <c r="F34" s="8">
        <f t="shared" si="0"/>
        <v>83.80952380952381</v>
      </c>
      <c r="G34" s="23">
        <v>20161</v>
      </c>
      <c r="H34" s="8">
        <f t="shared" si="3"/>
        <v>126.00625000000001</v>
      </c>
      <c r="I34" s="22"/>
      <c r="J34" s="22"/>
      <c r="K34" s="22"/>
    </row>
    <row r="35" spans="1:11" ht="33" x14ac:dyDescent="0.25">
      <c r="A35" s="22">
        <v>26</v>
      </c>
      <c r="B35" s="2" t="s">
        <v>62</v>
      </c>
      <c r="C35" s="4" t="s">
        <v>42</v>
      </c>
      <c r="D35" s="22">
        <v>2</v>
      </c>
      <c r="E35" s="8">
        <v>20.73</v>
      </c>
      <c r="F35" s="8">
        <f t="shared" si="0"/>
        <v>98.714285714285722</v>
      </c>
      <c r="G35" s="23">
        <v>26860</v>
      </c>
      <c r="H35" s="8">
        <f t="shared" si="3"/>
        <v>167.875</v>
      </c>
      <c r="I35" s="22"/>
      <c r="J35" s="22"/>
      <c r="K35" s="22"/>
    </row>
    <row r="36" spans="1:11" ht="33" x14ac:dyDescent="0.25">
      <c r="A36" s="22">
        <v>27</v>
      </c>
      <c r="B36" s="2" t="s">
        <v>63</v>
      </c>
      <c r="C36" s="4" t="s">
        <v>43</v>
      </c>
      <c r="D36" s="22">
        <v>2</v>
      </c>
      <c r="E36" s="8">
        <v>23.1</v>
      </c>
      <c r="F36" s="8">
        <f t="shared" si="0"/>
        <v>110.00000000000001</v>
      </c>
      <c r="G36" s="23">
        <v>37617</v>
      </c>
      <c r="H36" s="8">
        <f t="shared" si="3"/>
        <v>235.10624999999999</v>
      </c>
      <c r="I36" s="22"/>
      <c r="J36" s="22"/>
      <c r="K36" s="22"/>
    </row>
    <row r="37" spans="1:11" ht="33" x14ac:dyDescent="0.25">
      <c r="A37" s="22">
        <v>28</v>
      </c>
      <c r="B37" s="2" t="s">
        <v>64</v>
      </c>
      <c r="C37" s="4" t="s">
        <v>44</v>
      </c>
      <c r="D37" s="22">
        <v>2</v>
      </c>
      <c r="E37" s="8">
        <v>22.07</v>
      </c>
      <c r="F37" s="8">
        <f t="shared" si="0"/>
        <v>105.09523809523809</v>
      </c>
      <c r="G37" s="23">
        <v>28718</v>
      </c>
      <c r="H37" s="8">
        <f t="shared" si="3"/>
        <v>179.48750000000001</v>
      </c>
      <c r="I37" s="22"/>
      <c r="J37" s="22"/>
      <c r="K37" s="22"/>
    </row>
    <row r="38" spans="1:11" ht="33" x14ac:dyDescent="0.25">
      <c r="A38" s="22">
        <v>29</v>
      </c>
      <c r="B38" s="2" t="s">
        <v>65</v>
      </c>
      <c r="C38" s="4" t="s">
        <v>45</v>
      </c>
      <c r="D38" s="22">
        <v>2</v>
      </c>
      <c r="E38" s="8">
        <v>21.44</v>
      </c>
      <c r="F38" s="8">
        <f t="shared" si="0"/>
        <v>102.0952380952381</v>
      </c>
      <c r="G38" s="23">
        <v>24438</v>
      </c>
      <c r="H38" s="8">
        <f t="shared" si="3"/>
        <v>152.73749999999998</v>
      </c>
      <c r="I38" s="22"/>
      <c r="J38" s="22"/>
      <c r="K38" s="22"/>
    </row>
    <row r="39" spans="1:11" ht="33" x14ac:dyDescent="0.25">
      <c r="A39" s="22">
        <v>30</v>
      </c>
      <c r="B39" s="2" t="s">
        <v>66</v>
      </c>
      <c r="C39" s="4" t="s">
        <v>46</v>
      </c>
      <c r="D39" s="22">
        <v>2</v>
      </c>
      <c r="E39" s="8">
        <v>34.44</v>
      </c>
      <c r="F39" s="8">
        <f t="shared" si="0"/>
        <v>164</v>
      </c>
      <c r="G39" s="23">
        <v>31090</v>
      </c>
      <c r="H39" s="8">
        <f t="shared" si="3"/>
        <v>194.3125</v>
      </c>
      <c r="I39" s="22"/>
      <c r="J39" s="22"/>
      <c r="K39" s="22"/>
    </row>
    <row r="40" spans="1:11" ht="33" x14ac:dyDescent="0.25">
      <c r="A40" s="22">
        <v>31</v>
      </c>
      <c r="B40" s="2" t="s">
        <v>67</v>
      </c>
      <c r="C40" s="4" t="s">
        <v>47</v>
      </c>
      <c r="D40" s="22">
        <v>1</v>
      </c>
      <c r="E40" s="8">
        <v>81.819999999999993</v>
      </c>
      <c r="F40" s="8">
        <f>E40/21*100</f>
        <v>389.61904761904759</v>
      </c>
      <c r="G40" s="23">
        <v>9409</v>
      </c>
      <c r="H40" s="8">
        <f t="shared" si="3"/>
        <v>58.806250000000006</v>
      </c>
      <c r="I40" s="22"/>
      <c r="J40" s="22"/>
      <c r="K40" s="22"/>
    </row>
    <row r="41" spans="1:11" s="31" customFormat="1" ht="30" customHeight="1" x14ac:dyDescent="0.25">
      <c r="A41" s="20" t="s">
        <v>95</v>
      </c>
      <c r="B41" s="58" t="s">
        <v>96</v>
      </c>
      <c r="C41" s="58"/>
      <c r="D41" s="29">
        <f>SUM(D42:D58)</f>
        <v>34</v>
      </c>
      <c r="E41" s="30"/>
      <c r="F41" s="30"/>
      <c r="G41" s="30"/>
      <c r="H41" s="30"/>
      <c r="I41" s="30"/>
      <c r="J41" s="30"/>
      <c r="K41" s="30"/>
    </row>
    <row r="42" spans="1:11" ht="33" x14ac:dyDescent="0.25">
      <c r="A42" s="2">
        <v>32</v>
      </c>
      <c r="B42" s="2" t="s">
        <v>98</v>
      </c>
      <c r="C42" s="4" t="s">
        <v>202</v>
      </c>
      <c r="D42" s="2">
        <v>2</v>
      </c>
      <c r="E42" s="2">
        <v>23.97</v>
      </c>
      <c r="F42" s="1">
        <f>E42/21*100</f>
        <v>114.14285714285714</v>
      </c>
      <c r="G42" s="3">
        <v>35225</v>
      </c>
      <c r="H42" s="2">
        <v>220.16</v>
      </c>
      <c r="I42" s="2"/>
      <c r="J42" s="2"/>
      <c r="K42" s="2"/>
    </row>
    <row r="43" spans="1:11" ht="33" x14ac:dyDescent="0.25">
      <c r="A43" s="2">
        <v>33</v>
      </c>
      <c r="B43" s="2" t="s">
        <v>99</v>
      </c>
      <c r="C43" s="4" t="s">
        <v>203</v>
      </c>
      <c r="D43" s="2">
        <v>2</v>
      </c>
      <c r="E43" s="2">
        <v>30.28</v>
      </c>
      <c r="F43" s="1">
        <f t="shared" ref="F43:F58" si="4">E43/21*100</f>
        <v>144.1904761904762</v>
      </c>
      <c r="G43" s="3">
        <v>33253</v>
      </c>
      <c r="H43" s="2">
        <v>207.83</v>
      </c>
      <c r="I43" s="2"/>
      <c r="J43" s="2"/>
      <c r="K43" s="2"/>
    </row>
    <row r="44" spans="1:11" ht="33" x14ac:dyDescent="0.25">
      <c r="A44" s="2">
        <v>34</v>
      </c>
      <c r="B44" s="2" t="s">
        <v>100</v>
      </c>
      <c r="C44" s="4" t="s">
        <v>204</v>
      </c>
      <c r="D44" s="2">
        <v>2</v>
      </c>
      <c r="E44" s="2">
        <v>37.76</v>
      </c>
      <c r="F44" s="1">
        <f t="shared" si="4"/>
        <v>179.8095238095238</v>
      </c>
      <c r="G44" s="3">
        <v>38881</v>
      </c>
      <c r="H44" s="2">
        <v>243.01</v>
      </c>
      <c r="I44" s="2"/>
      <c r="J44" s="2"/>
      <c r="K44" s="2"/>
    </row>
    <row r="45" spans="1:11" ht="33" x14ac:dyDescent="0.25">
      <c r="A45" s="2">
        <v>35</v>
      </c>
      <c r="B45" s="2" t="s">
        <v>101</v>
      </c>
      <c r="C45" s="4" t="s">
        <v>263</v>
      </c>
      <c r="D45" s="2">
        <v>2</v>
      </c>
      <c r="E45" s="2">
        <v>24.15</v>
      </c>
      <c r="F45" s="1">
        <f t="shared" si="4"/>
        <v>114.99999999999999</v>
      </c>
      <c r="G45" s="3">
        <v>24343</v>
      </c>
      <c r="H45" s="2">
        <v>152.13999999999999</v>
      </c>
      <c r="I45" s="2"/>
      <c r="J45" s="2"/>
      <c r="K45" s="2"/>
    </row>
    <row r="46" spans="1:11" ht="33" x14ac:dyDescent="0.25">
      <c r="A46" s="2">
        <v>36</v>
      </c>
      <c r="B46" s="2" t="s">
        <v>102</v>
      </c>
      <c r="C46" s="4" t="s">
        <v>205</v>
      </c>
      <c r="D46" s="2">
        <v>2</v>
      </c>
      <c r="E46" s="2">
        <v>28.06</v>
      </c>
      <c r="F46" s="1">
        <f t="shared" si="4"/>
        <v>133.61904761904762</v>
      </c>
      <c r="G46" s="3">
        <v>32475</v>
      </c>
      <c r="H46" s="2">
        <v>202.97</v>
      </c>
      <c r="I46" s="2"/>
      <c r="J46" s="2"/>
      <c r="K46" s="2"/>
    </row>
    <row r="47" spans="1:11" ht="33" x14ac:dyDescent="0.25">
      <c r="A47" s="2">
        <v>37</v>
      </c>
      <c r="B47" s="2" t="s">
        <v>103</v>
      </c>
      <c r="C47" s="4" t="s">
        <v>264</v>
      </c>
      <c r="D47" s="2">
        <v>2</v>
      </c>
      <c r="E47" s="2">
        <v>20.95</v>
      </c>
      <c r="F47" s="1">
        <f t="shared" si="4"/>
        <v>99.761904761904759</v>
      </c>
      <c r="G47" s="3">
        <v>27732</v>
      </c>
      <c r="H47" s="2">
        <v>173.33</v>
      </c>
      <c r="I47" s="2"/>
      <c r="J47" s="2"/>
      <c r="K47" s="2"/>
    </row>
    <row r="48" spans="1:11" ht="33" x14ac:dyDescent="0.25">
      <c r="A48" s="2">
        <v>38</v>
      </c>
      <c r="B48" s="2" t="s">
        <v>104</v>
      </c>
      <c r="C48" s="4" t="s">
        <v>207</v>
      </c>
      <c r="D48" s="2">
        <v>2</v>
      </c>
      <c r="E48" s="2">
        <v>36.35</v>
      </c>
      <c r="F48" s="1">
        <f t="shared" si="4"/>
        <v>173.0952380952381</v>
      </c>
      <c r="G48" s="3">
        <v>26315</v>
      </c>
      <c r="H48" s="2">
        <v>164.47</v>
      </c>
      <c r="I48" s="2"/>
      <c r="J48" s="2"/>
      <c r="K48" s="2"/>
    </row>
    <row r="49" spans="1:11" ht="33" x14ac:dyDescent="0.25">
      <c r="A49" s="2">
        <v>39</v>
      </c>
      <c r="B49" s="2" t="s">
        <v>105</v>
      </c>
      <c r="C49" s="4" t="s">
        <v>206</v>
      </c>
      <c r="D49" s="2">
        <v>2</v>
      </c>
      <c r="E49" s="2">
        <v>23.85</v>
      </c>
      <c r="F49" s="1">
        <f t="shared" si="4"/>
        <v>113.57142857142857</v>
      </c>
      <c r="G49" s="3">
        <v>21685</v>
      </c>
      <c r="H49" s="2">
        <v>135.53</v>
      </c>
      <c r="I49" s="2"/>
      <c r="J49" s="2"/>
      <c r="K49" s="2"/>
    </row>
    <row r="50" spans="1:11" ht="33" x14ac:dyDescent="0.25">
      <c r="A50" s="2">
        <v>40</v>
      </c>
      <c r="B50" s="2" t="s">
        <v>106</v>
      </c>
      <c r="C50" s="4" t="s">
        <v>208</v>
      </c>
      <c r="D50" s="2">
        <v>2</v>
      </c>
      <c r="E50" s="2">
        <v>52.91</v>
      </c>
      <c r="F50" s="1">
        <f t="shared" si="4"/>
        <v>251.95238095238093</v>
      </c>
      <c r="G50" s="3">
        <v>29550</v>
      </c>
      <c r="H50" s="2">
        <v>184.69</v>
      </c>
      <c r="I50" s="2"/>
      <c r="J50" s="2"/>
      <c r="K50" s="2"/>
    </row>
    <row r="51" spans="1:11" ht="33" x14ac:dyDescent="0.25">
      <c r="A51" s="2">
        <v>41</v>
      </c>
      <c r="B51" s="2" t="s">
        <v>107</v>
      </c>
      <c r="C51" s="4" t="s">
        <v>209</v>
      </c>
      <c r="D51" s="2">
        <v>2</v>
      </c>
      <c r="E51" s="2">
        <v>23.27</v>
      </c>
      <c r="F51" s="1">
        <f t="shared" si="4"/>
        <v>110.8095238095238</v>
      </c>
      <c r="G51" s="3">
        <v>23609</v>
      </c>
      <c r="H51" s="2">
        <v>147.56</v>
      </c>
      <c r="I51" s="2"/>
      <c r="J51" s="2"/>
      <c r="K51" s="2"/>
    </row>
    <row r="52" spans="1:11" ht="33" x14ac:dyDescent="0.25">
      <c r="A52" s="2">
        <v>42</v>
      </c>
      <c r="B52" s="2" t="s">
        <v>108</v>
      </c>
      <c r="C52" s="4" t="s">
        <v>265</v>
      </c>
      <c r="D52" s="2">
        <v>2</v>
      </c>
      <c r="E52" s="2">
        <v>18.38</v>
      </c>
      <c r="F52" s="1">
        <f t="shared" si="4"/>
        <v>87.523809523809518</v>
      </c>
      <c r="G52" s="3">
        <v>32183</v>
      </c>
      <c r="H52" s="2">
        <v>201.14</v>
      </c>
      <c r="I52" s="2"/>
      <c r="J52" s="2"/>
      <c r="K52" s="2"/>
    </row>
    <row r="53" spans="1:11" ht="33" x14ac:dyDescent="0.25">
      <c r="A53" s="2">
        <v>43</v>
      </c>
      <c r="B53" s="2" t="s">
        <v>109</v>
      </c>
      <c r="C53" s="4" t="s">
        <v>210</v>
      </c>
      <c r="D53" s="2">
        <v>2</v>
      </c>
      <c r="E53" s="1">
        <v>22.7</v>
      </c>
      <c r="F53" s="1">
        <f t="shared" si="4"/>
        <v>108.09523809523809</v>
      </c>
      <c r="G53" s="3">
        <v>34150</v>
      </c>
      <c r="H53" s="2">
        <v>213.44</v>
      </c>
      <c r="I53" s="2"/>
      <c r="J53" s="2"/>
      <c r="K53" s="2"/>
    </row>
    <row r="54" spans="1:11" ht="33" x14ac:dyDescent="0.25">
      <c r="A54" s="2">
        <v>44</v>
      </c>
      <c r="B54" s="2" t="s">
        <v>110</v>
      </c>
      <c r="C54" s="4" t="s">
        <v>211</v>
      </c>
      <c r="D54" s="2">
        <v>2</v>
      </c>
      <c r="E54" s="2">
        <v>31.17</v>
      </c>
      <c r="F54" s="1">
        <f t="shared" si="4"/>
        <v>148.42857142857144</v>
      </c>
      <c r="G54" s="3">
        <v>30984</v>
      </c>
      <c r="H54" s="2">
        <v>193.65</v>
      </c>
      <c r="I54" s="2"/>
      <c r="J54" s="2"/>
      <c r="K54" s="2"/>
    </row>
    <row r="55" spans="1:11" ht="33" x14ac:dyDescent="0.25">
      <c r="A55" s="2">
        <v>45</v>
      </c>
      <c r="B55" s="2" t="s">
        <v>111</v>
      </c>
      <c r="C55" s="4" t="s">
        <v>212</v>
      </c>
      <c r="D55" s="2">
        <v>2</v>
      </c>
      <c r="E55" s="2">
        <v>17.59</v>
      </c>
      <c r="F55" s="1">
        <f t="shared" si="4"/>
        <v>83.761904761904759</v>
      </c>
      <c r="G55" s="3">
        <v>36158</v>
      </c>
      <c r="H55" s="2">
        <v>225.99</v>
      </c>
      <c r="I55" s="2"/>
      <c r="J55" s="2"/>
      <c r="K55" s="2"/>
    </row>
    <row r="56" spans="1:11" ht="33" x14ac:dyDescent="0.25">
      <c r="A56" s="2">
        <v>46</v>
      </c>
      <c r="B56" s="2" t="s">
        <v>112</v>
      </c>
      <c r="C56" s="4" t="s">
        <v>213</v>
      </c>
      <c r="D56" s="2">
        <v>2</v>
      </c>
      <c r="E56" s="2">
        <v>26.32</v>
      </c>
      <c r="F56" s="1">
        <f t="shared" si="4"/>
        <v>125.33333333333334</v>
      </c>
      <c r="G56" s="3">
        <v>21933</v>
      </c>
      <c r="H56" s="2">
        <v>137.08000000000001</v>
      </c>
      <c r="I56" s="2"/>
      <c r="J56" s="2"/>
      <c r="K56" s="2"/>
    </row>
    <row r="57" spans="1:11" ht="33" x14ac:dyDescent="0.25">
      <c r="A57" s="2">
        <v>47</v>
      </c>
      <c r="B57" s="2" t="s">
        <v>113</v>
      </c>
      <c r="C57" s="4" t="s">
        <v>214</v>
      </c>
      <c r="D57" s="2">
        <v>2</v>
      </c>
      <c r="E57" s="2">
        <v>23.98</v>
      </c>
      <c r="F57" s="1">
        <f t="shared" si="4"/>
        <v>114.1904761904762</v>
      </c>
      <c r="G57" s="3">
        <v>24535</v>
      </c>
      <c r="H57" s="2">
        <v>153.34</v>
      </c>
      <c r="I57" s="2"/>
      <c r="J57" s="2"/>
      <c r="K57" s="2"/>
    </row>
    <row r="58" spans="1:11" ht="33" x14ac:dyDescent="0.25">
      <c r="A58" s="2">
        <v>48</v>
      </c>
      <c r="B58" s="2" t="s">
        <v>114</v>
      </c>
      <c r="C58" s="4" t="s">
        <v>215</v>
      </c>
      <c r="D58" s="2">
        <v>2</v>
      </c>
      <c r="E58" s="2">
        <v>28.69</v>
      </c>
      <c r="F58" s="1">
        <f t="shared" si="4"/>
        <v>136.61904761904762</v>
      </c>
      <c r="G58" s="3">
        <v>37887</v>
      </c>
      <c r="H58" s="2">
        <v>236.79</v>
      </c>
      <c r="I58" s="2"/>
      <c r="J58" s="2"/>
      <c r="K58" s="2"/>
    </row>
    <row r="59" spans="1:11" s="31" customFormat="1" ht="30" customHeight="1" x14ac:dyDescent="0.25">
      <c r="A59" s="20" t="s">
        <v>115</v>
      </c>
      <c r="B59" s="58" t="s">
        <v>116</v>
      </c>
      <c r="C59" s="58"/>
      <c r="D59" s="29">
        <f>SUM(D60:D108)</f>
        <v>100</v>
      </c>
      <c r="E59" s="30"/>
      <c r="F59" s="30"/>
      <c r="G59" s="30"/>
      <c r="H59" s="30"/>
      <c r="I59" s="30"/>
      <c r="J59" s="30"/>
      <c r="K59" s="30"/>
    </row>
    <row r="60" spans="1:11" s="31" customFormat="1" ht="33" x14ac:dyDescent="0.25">
      <c r="A60" s="2">
        <v>49</v>
      </c>
      <c r="B60" s="2" t="s">
        <v>118</v>
      </c>
      <c r="C60" s="4" t="s">
        <v>248</v>
      </c>
      <c r="D60" s="22">
        <v>2</v>
      </c>
      <c r="E60" s="8">
        <f>7.63+7.02+5.82</f>
        <v>20.47</v>
      </c>
      <c r="F60" s="32">
        <f t="shared" ref="F60:F108" si="5">E60/21*100</f>
        <v>97.476190476190467</v>
      </c>
      <c r="G60" s="3">
        <f>10529+21161+8132</f>
        <v>39822</v>
      </c>
      <c r="H60" s="1">
        <f t="shared" ref="H60:H108" si="6">G60/16000*100</f>
        <v>248.88750000000002</v>
      </c>
      <c r="I60" s="22"/>
      <c r="J60" s="22"/>
      <c r="K60" s="22"/>
    </row>
    <row r="61" spans="1:11" s="31" customFormat="1" ht="33" x14ac:dyDescent="0.25">
      <c r="A61" s="2">
        <v>50</v>
      </c>
      <c r="B61" s="2" t="s">
        <v>193</v>
      </c>
      <c r="C61" s="4" t="s">
        <v>260</v>
      </c>
      <c r="D61" s="22">
        <v>2</v>
      </c>
      <c r="E61" s="8">
        <f>6.08+9.09+9.62</f>
        <v>24.79</v>
      </c>
      <c r="F61" s="32">
        <f t="shared" si="5"/>
        <v>118.04761904761905</v>
      </c>
      <c r="G61" s="3">
        <f>12006+12206+13909</f>
        <v>38121</v>
      </c>
      <c r="H61" s="1">
        <f t="shared" si="6"/>
        <v>238.25625000000002</v>
      </c>
      <c r="I61" s="22"/>
      <c r="J61" s="22"/>
      <c r="K61" s="22"/>
    </row>
    <row r="62" spans="1:11" s="31" customFormat="1" ht="33" x14ac:dyDescent="0.25">
      <c r="A62" s="2">
        <v>51</v>
      </c>
      <c r="B62" s="2" t="s">
        <v>119</v>
      </c>
      <c r="C62" s="4" t="s">
        <v>261</v>
      </c>
      <c r="D62" s="22">
        <v>1</v>
      </c>
      <c r="E62" s="8">
        <f>14.98+8.44</f>
        <v>23.42</v>
      </c>
      <c r="F62" s="32">
        <f t="shared" si="5"/>
        <v>111.52380952380953</v>
      </c>
      <c r="G62" s="3">
        <f>17193+11155</f>
        <v>28348</v>
      </c>
      <c r="H62" s="1">
        <f t="shared" si="6"/>
        <v>177.17499999999998</v>
      </c>
      <c r="I62" s="22"/>
      <c r="J62" s="22"/>
      <c r="K62" s="22"/>
    </row>
    <row r="63" spans="1:11" s="31" customFormat="1" ht="33" x14ac:dyDescent="0.25">
      <c r="A63" s="2">
        <v>52</v>
      </c>
      <c r="B63" s="2" t="s">
        <v>120</v>
      </c>
      <c r="C63" s="4" t="s">
        <v>266</v>
      </c>
      <c r="D63" s="22">
        <v>3</v>
      </c>
      <c r="E63" s="8">
        <f>4.36+7.72+6.46+7.26</f>
        <v>25.799999999999997</v>
      </c>
      <c r="F63" s="32">
        <f t="shared" si="5"/>
        <v>122.85714285714285</v>
      </c>
      <c r="G63" s="3">
        <f>7224+10292+6590+13562</f>
        <v>37668</v>
      </c>
      <c r="H63" s="1">
        <f t="shared" si="6"/>
        <v>235.42499999999998</v>
      </c>
      <c r="I63" s="22"/>
      <c r="J63" s="22"/>
      <c r="K63" s="22"/>
    </row>
    <row r="64" spans="1:11" s="31" customFormat="1" ht="33" x14ac:dyDescent="0.25">
      <c r="A64" s="2">
        <v>53</v>
      </c>
      <c r="B64" s="2" t="s">
        <v>121</v>
      </c>
      <c r="C64" s="4" t="s">
        <v>262</v>
      </c>
      <c r="D64" s="22">
        <v>2</v>
      </c>
      <c r="E64" s="8">
        <f>11.15+9.52+8.14</f>
        <v>28.810000000000002</v>
      </c>
      <c r="F64" s="32">
        <f t="shared" si="5"/>
        <v>137.1904761904762</v>
      </c>
      <c r="G64" s="3">
        <f>12062+8807+10954</f>
        <v>31823</v>
      </c>
      <c r="H64" s="1">
        <f t="shared" si="6"/>
        <v>198.89375000000001</v>
      </c>
      <c r="I64" s="22"/>
      <c r="J64" s="22"/>
      <c r="K64" s="22"/>
    </row>
    <row r="65" spans="1:11" s="31" customFormat="1" ht="33" x14ac:dyDescent="0.25">
      <c r="A65" s="2">
        <v>54</v>
      </c>
      <c r="B65" s="33" t="s">
        <v>122</v>
      </c>
      <c r="C65" s="4" t="s">
        <v>243</v>
      </c>
      <c r="D65" s="22">
        <v>1</v>
      </c>
      <c r="E65" s="8">
        <f>25.84+7.25</f>
        <v>33.090000000000003</v>
      </c>
      <c r="F65" s="32">
        <f t="shared" si="5"/>
        <v>157.57142857142858</v>
      </c>
      <c r="G65" s="3">
        <f>23469+6496</f>
        <v>29965</v>
      </c>
      <c r="H65" s="1">
        <f t="shared" si="6"/>
        <v>187.28125</v>
      </c>
      <c r="I65" s="34"/>
      <c r="J65" s="34"/>
      <c r="K65" s="34"/>
    </row>
    <row r="66" spans="1:11" s="31" customFormat="1" ht="33" x14ac:dyDescent="0.25">
      <c r="A66" s="2">
        <v>55</v>
      </c>
      <c r="B66" s="33" t="s">
        <v>123</v>
      </c>
      <c r="C66" s="4" t="s">
        <v>242</v>
      </c>
      <c r="D66" s="34">
        <v>3</v>
      </c>
      <c r="E66" s="35">
        <f>12.06+8.59+4.75+4.84</f>
        <v>30.24</v>
      </c>
      <c r="F66" s="32">
        <f t="shared" si="5"/>
        <v>144</v>
      </c>
      <c r="G66" s="3">
        <f>9104+7218+6618+7025</f>
        <v>29965</v>
      </c>
      <c r="H66" s="1">
        <f t="shared" si="6"/>
        <v>187.28125</v>
      </c>
      <c r="I66" s="34"/>
      <c r="J66" s="34"/>
      <c r="K66" s="34"/>
    </row>
    <row r="67" spans="1:11" s="31" customFormat="1" ht="33" x14ac:dyDescent="0.25">
      <c r="A67" s="2">
        <v>56</v>
      </c>
      <c r="B67" s="33" t="s">
        <v>124</v>
      </c>
      <c r="C67" s="4" t="s">
        <v>241</v>
      </c>
      <c r="D67" s="34">
        <v>2</v>
      </c>
      <c r="E67" s="35">
        <f>9.82+4.76+6.98</f>
        <v>21.560000000000002</v>
      </c>
      <c r="F67" s="32">
        <f t="shared" si="5"/>
        <v>102.66666666666669</v>
      </c>
      <c r="G67" s="3">
        <f>10782+8903+6990</f>
        <v>26675</v>
      </c>
      <c r="H67" s="1">
        <f t="shared" si="6"/>
        <v>166.71875</v>
      </c>
      <c r="I67" s="34"/>
      <c r="J67" s="34"/>
      <c r="K67" s="34"/>
    </row>
    <row r="68" spans="1:11" s="31" customFormat="1" ht="33" x14ac:dyDescent="0.25">
      <c r="A68" s="2">
        <v>57</v>
      </c>
      <c r="B68" s="33" t="s">
        <v>125</v>
      </c>
      <c r="C68" s="4" t="s">
        <v>240</v>
      </c>
      <c r="D68" s="34">
        <v>2</v>
      </c>
      <c r="E68" s="35">
        <f>10.58+6.48+13.99</f>
        <v>31.050000000000004</v>
      </c>
      <c r="F68" s="32">
        <f t="shared" si="5"/>
        <v>147.85714285714289</v>
      </c>
      <c r="G68" s="3">
        <f>11580+6924+11321</f>
        <v>29825</v>
      </c>
      <c r="H68" s="1">
        <f t="shared" si="6"/>
        <v>186.40625</v>
      </c>
      <c r="I68" s="34"/>
      <c r="J68" s="34"/>
      <c r="K68" s="34"/>
    </row>
    <row r="69" spans="1:11" s="31" customFormat="1" ht="33" x14ac:dyDescent="0.25">
      <c r="A69" s="2">
        <v>58</v>
      </c>
      <c r="B69" s="2" t="s">
        <v>126</v>
      </c>
      <c r="C69" s="4" t="s">
        <v>267</v>
      </c>
      <c r="D69" s="22">
        <v>3</v>
      </c>
      <c r="E69" s="8">
        <f>6.22+8.73+6.86+24.92</f>
        <v>46.730000000000004</v>
      </c>
      <c r="F69" s="32">
        <f t="shared" ref="F69:F75" si="7">E69/21*100</f>
        <v>222.52380952380952</v>
      </c>
      <c r="G69" s="3">
        <f>6412+7709+17109+22189</f>
        <v>53419</v>
      </c>
      <c r="H69" s="1">
        <f t="shared" ref="H69:H75" si="8">G69/16000*100</f>
        <v>333.86874999999998</v>
      </c>
      <c r="I69" s="22"/>
      <c r="J69" s="22"/>
      <c r="K69" s="22"/>
    </row>
    <row r="70" spans="1:11" s="31" customFormat="1" ht="33" x14ac:dyDescent="0.25">
      <c r="A70" s="2">
        <v>59</v>
      </c>
      <c r="B70" s="2" t="s">
        <v>127</v>
      </c>
      <c r="C70" s="4" t="s">
        <v>259</v>
      </c>
      <c r="D70" s="22">
        <v>2</v>
      </c>
      <c r="E70" s="8">
        <v>30.53</v>
      </c>
      <c r="F70" s="32">
        <f t="shared" si="7"/>
        <v>145.38095238095238</v>
      </c>
      <c r="G70" s="3">
        <f>6804+14473+14621</f>
        <v>35898</v>
      </c>
      <c r="H70" s="1">
        <f t="shared" si="8"/>
        <v>224.36250000000001</v>
      </c>
      <c r="I70" s="22"/>
      <c r="J70" s="22"/>
      <c r="K70" s="22"/>
    </row>
    <row r="71" spans="1:11" s="31" customFormat="1" ht="33" x14ac:dyDescent="0.25">
      <c r="A71" s="2">
        <v>60</v>
      </c>
      <c r="B71" s="2" t="s">
        <v>128</v>
      </c>
      <c r="C71" s="4" t="s">
        <v>268</v>
      </c>
      <c r="D71" s="22">
        <v>3</v>
      </c>
      <c r="E71" s="8">
        <v>32.44</v>
      </c>
      <c r="F71" s="32">
        <f t="shared" si="7"/>
        <v>154.47619047619045</v>
      </c>
      <c r="G71" s="3">
        <v>42810</v>
      </c>
      <c r="H71" s="1">
        <f t="shared" si="8"/>
        <v>267.5625</v>
      </c>
      <c r="I71" s="22"/>
      <c r="J71" s="22"/>
      <c r="K71" s="22"/>
    </row>
    <row r="72" spans="1:11" s="31" customFormat="1" ht="33" x14ac:dyDescent="0.25">
      <c r="A72" s="2">
        <v>61</v>
      </c>
      <c r="B72" s="2" t="s">
        <v>129</v>
      </c>
      <c r="C72" s="4" t="s">
        <v>239</v>
      </c>
      <c r="D72" s="22">
        <v>2</v>
      </c>
      <c r="E72" s="8">
        <v>26.22</v>
      </c>
      <c r="F72" s="32">
        <f t="shared" si="7"/>
        <v>124.85714285714285</v>
      </c>
      <c r="G72" s="3">
        <v>35807</v>
      </c>
      <c r="H72" s="1">
        <f t="shared" si="8"/>
        <v>223.79375000000002</v>
      </c>
      <c r="I72" s="22"/>
      <c r="J72" s="22"/>
      <c r="K72" s="22"/>
    </row>
    <row r="73" spans="1:11" s="31" customFormat="1" ht="33" x14ac:dyDescent="0.25">
      <c r="A73" s="2">
        <v>62</v>
      </c>
      <c r="B73" s="2" t="s">
        <v>130</v>
      </c>
      <c r="C73" s="4" t="s">
        <v>258</v>
      </c>
      <c r="D73" s="22">
        <v>3</v>
      </c>
      <c r="E73" s="8">
        <v>30.59</v>
      </c>
      <c r="F73" s="32">
        <f t="shared" si="7"/>
        <v>145.66666666666666</v>
      </c>
      <c r="G73" s="3">
        <v>39429</v>
      </c>
      <c r="H73" s="1">
        <f t="shared" si="8"/>
        <v>246.43125000000001</v>
      </c>
      <c r="I73" s="22"/>
      <c r="J73" s="22"/>
      <c r="K73" s="22"/>
    </row>
    <row r="74" spans="1:11" s="31" customFormat="1" ht="33" x14ac:dyDescent="0.25">
      <c r="A74" s="2">
        <v>63</v>
      </c>
      <c r="B74" s="2" t="s">
        <v>131</v>
      </c>
      <c r="C74" s="4" t="s">
        <v>269</v>
      </c>
      <c r="D74" s="22">
        <v>1</v>
      </c>
      <c r="E74" s="8">
        <v>44.65</v>
      </c>
      <c r="F74" s="32">
        <f t="shared" si="7"/>
        <v>212.61904761904762</v>
      </c>
      <c r="G74" s="3">
        <v>34937</v>
      </c>
      <c r="H74" s="1">
        <f t="shared" si="8"/>
        <v>218.35624999999999</v>
      </c>
      <c r="I74" s="22"/>
      <c r="J74" s="22"/>
      <c r="K74" s="22"/>
    </row>
    <row r="75" spans="1:11" s="31" customFormat="1" ht="33" x14ac:dyDescent="0.25">
      <c r="A75" s="2">
        <v>64</v>
      </c>
      <c r="B75" s="2" t="s">
        <v>132</v>
      </c>
      <c r="C75" s="4" t="s">
        <v>238</v>
      </c>
      <c r="D75" s="22">
        <v>2</v>
      </c>
      <c r="E75" s="8">
        <v>34.979999999999997</v>
      </c>
      <c r="F75" s="32">
        <f t="shared" si="7"/>
        <v>166.57142857142856</v>
      </c>
      <c r="G75" s="3">
        <v>37231</v>
      </c>
      <c r="H75" s="1">
        <f t="shared" si="8"/>
        <v>232.69375000000002</v>
      </c>
      <c r="I75" s="22"/>
      <c r="J75" s="22"/>
      <c r="K75" s="22"/>
    </row>
    <row r="76" spans="1:11" s="31" customFormat="1" ht="33" x14ac:dyDescent="0.25">
      <c r="A76" s="2">
        <v>65</v>
      </c>
      <c r="B76" s="2" t="s">
        <v>133</v>
      </c>
      <c r="C76" s="4" t="s">
        <v>237</v>
      </c>
      <c r="D76" s="22">
        <v>2</v>
      </c>
      <c r="E76" s="8">
        <v>18.329999999999998</v>
      </c>
      <c r="F76" s="32">
        <f t="shared" ref="F76:F82" si="9">E76/21*100</f>
        <v>87.285714285714278</v>
      </c>
      <c r="G76" s="3">
        <f>13891+18654+7618</f>
        <v>40163</v>
      </c>
      <c r="H76" s="1">
        <f t="shared" ref="H76:H82" si="10">G76/16000*100</f>
        <v>251.01874999999998</v>
      </c>
      <c r="I76" s="22"/>
      <c r="J76" s="22"/>
      <c r="K76" s="22"/>
    </row>
    <row r="77" spans="1:11" s="31" customFormat="1" ht="33" x14ac:dyDescent="0.25">
      <c r="A77" s="2">
        <v>66</v>
      </c>
      <c r="B77" s="2" t="s">
        <v>134</v>
      </c>
      <c r="C77" s="4" t="s">
        <v>236</v>
      </c>
      <c r="D77" s="22">
        <v>2</v>
      </c>
      <c r="E77" s="8">
        <v>23.69</v>
      </c>
      <c r="F77" s="32">
        <f t="shared" si="9"/>
        <v>112.80952380952382</v>
      </c>
      <c r="G77" s="3">
        <f>6473+18656+13616</f>
        <v>38745</v>
      </c>
      <c r="H77" s="1">
        <f t="shared" si="10"/>
        <v>242.15624999999997</v>
      </c>
      <c r="I77" s="22"/>
      <c r="J77" s="22"/>
      <c r="K77" s="22"/>
    </row>
    <row r="78" spans="1:11" s="31" customFormat="1" ht="33" x14ac:dyDescent="0.25">
      <c r="A78" s="2">
        <v>67</v>
      </c>
      <c r="B78" s="2" t="s">
        <v>135</v>
      </c>
      <c r="C78" s="4" t="s">
        <v>235</v>
      </c>
      <c r="D78" s="22">
        <v>2</v>
      </c>
      <c r="E78" s="8">
        <v>23.07</v>
      </c>
      <c r="F78" s="32">
        <f t="shared" si="9"/>
        <v>109.85714285714285</v>
      </c>
      <c r="G78" s="3">
        <f>16935+12630+9470</f>
        <v>39035</v>
      </c>
      <c r="H78" s="1">
        <f t="shared" si="10"/>
        <v>243.96874999999997</v>
      </c>
      <c r="I78" s="22"/>
      <c r="J78" s="22"/>
      <c r="K78" s="22"/>
    </row>
    <row r="79" spans="1:11" s="31" customFormat="1" ht="33" x14ac:dyDescent="0.25">
      <c r="A79" s="2">
        <v>68</v>
      </c>
      <c r="B79" s="2" t="s">
        <v>194</v>
      </c>
      <c r="C79" s="4" t="s">
        <v>234</v>
      </c>
      <c r="D79" s="22">
        <v>2</v>
      </c>
      <c r="E79" s="8">
        <v>17.260000000000002</v>
      </c>
      <c r="F79" s="32">
        <f t="shared" si="9"/>
        <v>82.190476190476204</v>
      </c>
      <c r="G79" s="3">
        <f>6283+6376+5794</f>
        <v>18453</v>
      </c>
      <c r="H79" s="1">
        <f t="shared" si="10"/>
        <v>115.33125</v>
      </c>
      <c r="I79" s="22"/>
      <c r="J79" s="22"/>
      <c r="K79" s="22"/>
    </row>
    <row r="80" spans="1:11" s="31" customFormat="1" ht="33" x14ac:dyDescent="0.25">
      <c r="A80" s="2">
        <v>69</v>
      </c>
      <c r="B80" s="2" t="s">
        <v>136</v>
      </c>
      <c r="C80" s="4" t="s">
        <v>233</v>
      </c>
      <c r="D80" s="22">
        <v>2</v>
      </c>
      <c r="E80" s="8">
        <v>15.89</v>
      </c>
      <c r="F80" s="32">
        <f t="shared" si="9"/>
        <v>75.666666666666671</v>
      </c>
      <c r="G80" s="3">
        <f>5741+8995+5965</f>
        <v>20701</v>
      </c>
      <c r="H80" s="1">
        <f t="shared" si="10"/>
        <v>129.38124999999999</v>
      </c>
      <c r="I80" s="22"/>
      <c r="J80" s="22"/>
      <c r="K80" s="22"/>
    </row>
    <row r="81" spans="1:11" s="31" customFormat="1" ht="33" x14ac:dyDescent="0.25">
      <c r="A81" s="2">
        <v>70</v>
      </c>
      <c r="B81" s="2" t="s">
        <v>137</v>
      </c>
      <c r="C81" s="4" t="s">
        <v>232</v>
      </c>
      <c r="D81" s="22">
        <v>2</v>
      </c>
      <c r="E81" s="8">
        <v>23.44</v>
      </c>
      <c r="F81" s="32">
        <f t="shared" si="9"/>
        <v>111.61904761904762</v>
      </c>
      <c r="G81" s="3">
        <f>14813+9204+9313</f>
        <v>33330</v>
      </c>
      <c r="H81" s="1">
        <f t="shared" si="10"/>
        <v>208.3125</v>
      </c>
      <c r="I81" s="22"/>
      <c r="J81" s="22"/>
      <c r="K81" s="22"/>
    </row>
    <row r="82" spans="1:11" s="31" customFormat="1" ht="33" x14ac:dyDescent="0.25">
      <c r="A82" s="2">
        <v>71</v>
      </c>
      <c r="B82" s="2" t="s">
        <v>138</v>
      </c>
      <c r="C82" s="4" t="s">
        <v>270</v>
      </c>
      <c r="D82" s="22">
        <v>2</v>
      </c>
      <c r="E82" s="8">
        <v>22.28</v>
      </c>
      <c r="F82" s="32">
        <f t="shared" si="9"/>
        <v>106.0952380952381</v>
      </c>
      <c r="G82" s="3">
        <f>9846+10741+12300</f>
        <v>32887</v>
      </c>
      <c r="H82" s="1">
        <f t="shared" si="10"/>
        <v>205.54374999999999</v>
      </c>
      <c r="I82" s="22"/>
      <c r="J82" s="22"/>
      <c r="K82" s="22"/>
    </row>
    <row r="83" spans="1:11" s="31" customFormat="1" ht="33" x14ac:dyDescent="0.25">
      <c r="A83" s="2">
        <v>72</v>
      </c>
      <c r="B83" s="2" t="s">
        <v>139</v>
      </c>
      <c r="C83" s="4" t="s">
        <v>231</v>
      </c>
      <c r="D83" s="22">
        <v>3</v>
      </c>
      <c r="E83" s="8">
        <v>33.29</v>
      </c>
      <c r="F83" s="32">
        <f t="shared" ref="F83:F86" si="11">E83/21*100</f>
        <v>158.52380952380952</v>
      </c>
      <c r="G83" s="3">
        <f>34736+18136+9141+9643</f>
        <v>71656</v>
      </c>
      <c r="H83" s="1">
        <f t="shared" ref="H83:H86" si="12">G83/16000*100</f>
        <v>447.85</v>
      </c>
      <c r="I83" s="22"/>
      <c r="J83" s="22"/>
      <c r="K83" s="22"/>
    </row>
    <row r="84" spans="1:11" s="31" customFormat="1" ht="33" x14ac:dyDescent="0.25">
      <c r="A84" s="2">
        <v>73</v>
      </c>
      <c r="B84" s="2" t="s">
        <v>195</v>
      </c>
      <c r="C84" s="4" t="s">
        <v>230</v>
      </c>
      <c r="D84" s="22">
        <v>2</v>
      </c>
      <c r="E84" s="8">
        <v>23.17</v>
      </c>
      <c r="F84" s="32">
        <f t="shared" si="11"/>
        <v>110.33333333333334</v>
      </c>
      <c r="G84" s="3">
        <f>15061+12954+25524</f>
        <v>53539</v>
      </c>
      <c r="H84" s="1">
        <f t="shared" si="12"/>
        <v>334.61875000000003</v>
      </c>
      <c r="I84" s="22"/>
      <c r="J84" s="22"/>
      <c r="K84" s="22"/>
    </row>
    <row r="85" spans="1:11" s="31" customFormat="1" ht="33" x14ac:dyDescent="0.25">
      <c r="A85" s="2">
        <v>74</v>
      </c>
      <c r="B85" s="2" t="s">
        <v>140</v>
      </c>
      <c r="C85" s="4" t="s">
        <v>271</v>
      </c>
      <c r="D85" s="22">
        <v>2</v>
      </c>
      <c r="E85" s="1">
        <v>32.04</v>
      </c>
      <c r="F85" s="32">
        <f t="shared" si="11"/>
        <v>152.57142857142856</v>
      </c>
      <c r="G85" s="3">
        <f>25043+8683+12327</f>
        <v>46053</v>
      </c>
      <c r="H85" s="1">
        <f t="shared" si="12"/>
        <v>287.83124999999995</v>
      </c>
      <c r="I85" s="22"/>
      <c r="J85" s="22"/>
      <c r="K85" s="22"/>
    </row>
    <row r="86" spans="1:11" s="31" customFormat="1" ht="33" x14ac:dyDescent="0.25">
      <c r="A86" s="2">
        <v>75</v>
      </c>
      <c r="B86" s="2" t="s">
        <v>141</v>
      </c>
      <c r="C86" s="4" t="s">
        <v>229</v>
      </c>
      <c r="D86" s="22">
        <v>3</v>
      </c>
      <c r="E86" s="8">
        <v>27.61</v>
      </c>
      <c r="F86" s="32">
        <f t="shared" si="11"/>
        <v>131.47619047619048</v>
      </c>
      <c r="G86" s="3">
        <f>6747+6904+20574+6473</f>
        <v>40698</v>
      </c>
      <c r="H86" s="1">
        <f t="shared" si="12"/>
        <v>254.36250000000001</v>
      </c>
      <c r="I86" s="22"/>
      <c r="J86" s="22"/>
      <c r="K86" s="22"/>
    </row>
    <row r="87" spans="1:11" s="31" customFormat="1" ht="33" x14ac:dyDescent="0.25">
      <c r="A87" s="2">
        <v>76</v>
      </c>
      <c r="B87" s="2" t="s">
        <v>142</v>
      </c>
      <c r="C87" s="4" t="s">
        <v>228</v>
      </c>
      <c r="D87" s="22">
        <v>2</v>
      </c>
      <c r="E87" s="8">
        <v>23.87</v>
      </c>
      <c r="F87" s="32">
        <f t="shared" ref="F87:F94" si="13">E87/21*100</f>
        <v>113.66666666666667</v>
      </c>
      <c r="G87" s="3">
        <f>23408+13592+8227</f>
        <v>45227</v>
      </c>
      <c r="H87" s="1">
        <f t="shared" ref="H87:H94" si="14">G87/16000*100</f>
        <v>282.66874999999999</v>
      </c>
      <c r="I87" s="22"/>
      <c r="J87" s="22"/>
      <c r="K87" s="22"/>
    </row>
    <row r="88" spans="1:11" s="31" customFormat="1" ht="33" x14ac:dyDescent="0.25">
      <c r="A88" s="2">
        <v>77</v>
      </c>
      <c r="B88" s="2" t="s">
        <v>144</v>
      </c>
      <c r="C88" s="4" t="s">
        <v>227</v>
      </c>
      <c r="D88" s="22">
        <v>2</v>
      </c>
      <c r="E88" s="8">
        <v>26.13</v>
      </c>
      <c r="F88" s="32">
        <f t="shared" si="13"/>
        <v>124.42857142857142</v>
      </c>
      <c r="G88" s="3">
        <f>15271+21064+14911</f>
        <v>51246</v>
      </c>
      <c r="H88" s="1">
        <f t="shared" si="14"/>
        <v>320.28750000000002</v>
      </c>
      <c r="I88" s="22"/>
      <c r="J88" s="22"/>
      <c r="K88" s="22"/>
    </row>
    <row r="89" spans="1:11" s="31" customFormat="1" ht="33" x14ac:dyDescent="0.25">
      <c r="A89" s="2">
        <v>78</v>
      </c>
      <c r="B89" s="2" t="s">
        <v>143</v>
      </c>
      <c r="C89" s="4" t="s">
        <v>247</v>
      </c>
      <c r="D89" s="22">
        <v>2</v>
      </c>
      <c r="E89" s="8">
        <v>24.19</v>
      </c>
      <c r="F89" s="32">
        <f t="shared" si="13"/>
        <v>115.1904761904762</v>
      </c>
      <c r="G89" s="3">
        <f>28130+9082+7516</f>
        <v>44728</v>
      </c>
      <c r="H89" s="1">
        <f t="shared" si="14"/>
        <v>279.55</v>
      </c>
      <c r="I89" s="22"/>
      <c r="J89" s="22"/>
      <c r="K89" s="22"/>
    </row>
    <row r="90" spans="1:11" s="31" customFormat="1" ht="33" x14ac:dyDescent="0.25">
      <c r="A90" s="2">
        <v>79</v>
      </c>
      <c r="B90" s="2" t="s">
        <v>145</v>
      </c>
      <c r="C90" s="4" t="s">
        <v>226</v>
      </c>
      <c r="D90" s="22">
        <v>2</v>
      </c>
      <c r="E90" s="8">
        <v>39.89</v>
      </c>
      <c r="F90" s="32">
        <f t="shared" si="13"/>
        <v>189.95238095238096</v>
      </c>
      <c r="G90" s="3">
        <f>28742+28069+8107</f>
        <v>64918</v>
      </c>
      <c r="H90" s="1">
        <f t="shared" si="14"/>
        <v>405.73750000000007</v>
      </c>
      <c r="I90" s="22"/>
      <c r="J90" s="22"/>
      <c r="K90" s="22"/>
    </row>
    <row r="91" spans="1:11" s="31" customFormat="1" ht="33" x14ac:dyDescent="0.25">
      <c r="A91" s="2">
        <v>80</v>
      </c>
      <c r="B91" s="2" t="s">
        <v>146</v>
      </c>
      <c r="C91" s="4" t="s">
        <v>257</v>
      </c>
      <c r="D91" s="22">
        <v>2</v>
      </c>
      <c r="E91" s="8">
        <v>25.19</v>
      </c>
      <c r="F91" s="32">
        <f t="shared" si="13"/>
        <v>119.95238095238096</v>
      </c>
      <c r="G91" s="3">
        <f>11742+8722+6456</f>
        <v>26920</v>
      </c>
      <c r="H91" s="1">
        <f t="shared" si="14"/>
        <v>168.25</v>
      </c>
      <c r="I91" s="22"/>
      <c r="J91" s="22"/>
      <c r="K91" s="22"/>
    </row>
    <row r="92" spans="1:11" s="31" customFormat="1" ht="33" x14ac:dyDescent="0.25">
      <c r="A92" s="2">
        <v>81</v>
      </c>
      <c r="B92" s="2" t="s">
        <v>147</v>
      </c>
      <c r="C92" s="4" t="s">
        <v>225</v>
      </c>
      <c r="D92" s="22">
        <v>2</v>
      </c>
      <c r="E92" s="8">
        <v>24.68</v>
      </c>
      <c r="F92" s="32">
        <f t="shared" si="13"/>
        <v>117.52380952380952</v>
      </c>
      <c r="G92" s="3">
        <f>8030+9812+7956</f>
        <v>25798</v>
      </c>
      <c r="H92" s="1">
        <f t="shared" si="14"/>
        <v>161.23749999999998</v>
      </c>
      <c r="I92" s="22"/>
      <c r="J92" s="22"/>
      <c r="K92" s="22"/>
    </row>
    <row r="93" spans="1:11" s="31" customFormat="1" ht="33" x14ac:dyDescent="0.25">
      <c r="A93" s="2">
        <v>82</v>
      </c>
      <c r="B93" s="2" t="s">
        <v>148</v>
      </c>
      <c r="C93" s="4" t="s">
        <v>224</v>
      </c>
      <c r="D93" s="22">
        <v>2</v>
      </c>
      <c r="E93" s="8">
        <v>31.27</v>
      </c>
      <c r="F93" s="32">
        <f t="shared" si="13"/>
        <v>148.9047619047619</v>
      </c>
      <c r="G93" s="3">
        <f>23722+10371+9908</f>
        <v>44001</v>
      </c>
      <c r="H93" s="1">
        <f t="shared" si="14"/>
        <v>275.00624999999997</v>
      </c>
      <c r="I93" s="22"/>
      <c r="J93" s="22"/>
      <c r="K93" s="22"/>
    </row>
    <row r="94" spans="1:11" s="31" customFormat="1" ht="33" x14ac:dyDescent="0.25">
      <c r="A94" s="2">
        <v>83</v>
      </c>
      <c r="B94" s="2" t="s">
        <v>149</v>
      </c>
      <c r="C94" s="4" t="s">
        <v>246</v>
      </c>
      <c r="D94" s="22">
        <v>2</v>
      </c>
      <c r="E94" s="8">
        <v>32.92</v>
      </c>
      <c r="F94" s="32">
        <f t="shared" si="13"/>
        <v>156.76190476190476</v>
      </c>
      <c r="G94" s="3">
        <f>7537+17873+8111</f>
        <v>33521</v>
      </c>
      <c r="H94" s="1">
        <f t="shared" si="14"/>
        <v>209.50624999999999</v>
      </c>
      <c r="I94" s="22"/>
      <c r="J94" s="22"/>
      <c r="K94" s="22"/>
    </row>
    <row r="95" spans="1:11" s="31" customFormat="1" ht="33" x14ac:dyDescent="0.25">
      <c r="A95" s="2">
        <v>84</v>
      </c>
      <c r="B95" s="2" t="s">
        <v>150</v>
      </c>
      <c r="C95" s="4" t="s">
        <v>223</v>
      </c>
      <c r="D95" s="2">
        <v>2</v>
      </c>
      <c r="E95" s="1">
        <v>27.74</v>
      </c>
      <c r="F95" s="32">
        <f t="shared" ref="F95:F101" si="15">E95/21*100</f>
        <v>132.09523809523807</v>
      </c>
      <c r="G95" s="3">
        <f>12610+8930+7721</f>
        <v>29261</v>
      </c>
      <c r="H95" s="1">
        <f t="shared" ref="H95:H101" si="16">G95/16000*100</f>
        <v>182.88124999999999</v>
      </c>
      <c r="I95" s="2"/>
      <c r="J95" s="2"/>
      <c r="K95" s="2"/>
    </row>
    <row r="96" spans="1:11" s="31" customFormat="1" ht="33" x14ac:dyDescent="0.25">
      <c r="A96" s="2">
        <v>85</v>
      </c>
      <c r="B96" s="2" t="s">
        <v>151</v>
      </c>
      <c r="C96" s="4" t="s">
        <v>256</v>
      </c>
      <c r="D96" s="2">
        <v>2</v>
      </c>
      <c r="E96" s="1">
        <v>29.62</v>
      </c>
      <c r="F96" s="32">
        <f t="shared" si="15"/>
        <v>141.04761904761904</v>
      </c>
      <c r="G96" s="3">
        <f>18367+11232+12118</f>
        <v>41717</v>
      </c>
      <c r="H96" s="1">
        <f t="shared" si="16"/>
        <v>260.73124999999999</v>
      </c>
      <c r="I96" s="2"/>
      <c r="J96" s="2"/>
      <c r="K96" s="2"/>
    </row>
    <row r="97" spans="1:11" s="31" customFormat="1" ht="33" x14ac:dyDescent="0.25">
      <c r="A97" s="2">
        <v>86</v>
      </c>
      <c r="B97" s="2" t="s">
        <v>152</v>
      </c>
      <c r="C97" s="4" t="s">
        <v>222</v>
      </c>
      <c r="D97" s="2">
        <v>1</v>
      </c>
      <c r="E97" s="1">
        <v>23.52</v>
      </c>
      <c r="F97" s="32">
        <f t="shared" si="15"/>
        <v>111.99999999999999</v>
      </c>
      <c r="G97" s="3">
        <f>36866+9691</f>
        <v>46557</v>
      </c>
      <c r="H97" s="1">
        <f t="shared" si="16"/>
        <v>290.98124999999999</v>
      </c>
      <c r="I97" s="2"/>
      <c r="J97" s="2"/>
      <c r="K97" s="2"/>
    </row>
    <row r="98" spans="1:11" s="31" customFormat="1" ht="33" x14ac:dyDescent="0.25">
      <c r="A98" s="2">
        <v>87</v>
      </c>
      <c r="B98" s="2" t="s">
        <v>153</v>
      </c>
      <c r="C98" s="4" t="s">
        <v>221</v>
      </c>
      <c r="D98" s="2">
        <v>2</v>
      </c>
      <c r="E98" s="1">
        <v>19.47</v>
      </c>
      <c r="F98" s="32">
        <f t="shared" si="15"/>
        <v>92.714285714285708</v>
      </c>
      <c r="G98" s="3">
        <f>11045+11074+7639</f>
        <v>29758</v>
      </c>
      <c r="H98" s="1">
        <f t="shared" si="16"/>
        <v>185.98749999999998</v>
      </c>
      <c r="I98" s="2"/>
      <c r="J98" s="2"/>
      <c r="K98" s="2"/>
    </row>
    <row r="99" spans="1:11" s="31" customFormat="1" ht="33" x14ac:dyDescent="0.25">
      <c r="A99" s="2">
        <v>88</v>
      </c>
      <c r="B99" s="2" t="s">
        <v>154</v>
      </c>
      <c r="C99" s="4" t="s">
        <v>220</v>
      </c>
      <c r="D99" s="22">
        <v>2</v>
      </c>
      <c r="E99" s="8">
        <v>21.740000000000002</v>
      </c>
      <c r="F99" s="32">
        <f t="shared" si="15"/>
        <v>103.52380952380953</v>
      </c>
      <c r="G99" s="3">
        <f>9552+9715+8718</f>
        <v>27985</v>
      </c>
      <c r="H99" s="1">
        <f t="shared" si="16"/>
        <v>174.90625</v>
      </c>
      <c r="I99" s="22"/>
      <c r="J99" s="22"/>
      <c r="K99" s="22"/>
    </row>
    <row r="100" spans="1:11" ht="33" x14ac:dyDescent="0.25">
      <c r="A100" s="2">
        <v>89</v>
      </c>
      <c r="B100" s="2" t="s">
        <v>155</v>
      </c>
      <c r="C100" s="4" t="s">
        <v>219</v>
      </c>
      <c r="D100" s="22">
        <v>2</v>
      </c>
      <c r="E100" s="8">
        <v>21.75</v>
      </c>
      <c r="F100" s="32">
        <f t="shared" si="15"/>
        <v>103.57142857142858</v>
      </c>
      <c r="G100" s="3">
        <f>9830+9109+7769</f>
        <v>26708</v>
      </c>
      <c r="H100" s="1">
        <f t="shared" si="16"/>
        <v>166.92499999999998</v>
      </c>
      <c r="I100" s="22"/>
      <c r="J100" s="22"/>
      <c r="K100" s="22"/>
    </row>
    <row r="101" spans="1:11" ht="33" x14ac:dyDescent="0.25">
      <c r="A101" s="2">
        <v>90</v>
      </c>
      <c r="B101" s="2" t="s">
        <v>156</v>
      </c>
      <c r="C101" s="4" t="s">
        <v>245</v>
      </c>
      <c r="D101" s="22">
        <v>2</v>
      </c>
      <c r="E101" s="8">
        <v>25.81</v>
      </c>
      <c r="F101" s="32">
        <f t="shared" si="15"/>
        <v>122.9047619047619</v>
      </c>
      <c r="G101" s="3">
        <f>9130+13211+11436</f>
        <v>33777</v>
      </c>
      <c r="H101" s="1">
        <f t="shared" si="16"/>
        <v>211.10625000000002</v>
      </c>
      <c r="I101" s="22"/>
      <c r="J101" s="22"/>
      <c r="K101" s="22"/>
    </row>
    <row r="102" spans="1:11" ht="33" x14ac:dyDescent="0.25">
      <c r="A102" s="2">
        <v>91</v>
      </c>
      <c r="B102" s="2" t="s">
        <v>158</v>
      </c>
      <c r="C102" s="4" t="s">
        <v>218</v>
      </c>
      <c r="D102" s="2">
        <v>1</v>
      </c>
      <c r="E102" s="1">
        <v>30.45</v>
      </c>
      <c r="F102" s="32">
        <f t="shared" si="5"/>
        <v>145</v>
      </c>
      <c r="G102" s="3">
        <f>21084+9804</f>
        <v>30888</v>
      </c>
      <c r="H102" s="1">
        <f t="shared" si="6"/>
        <v>193.05</v>
      </c>
      <c r="I102" s="2"/>
      <c r="J102" s="2"/>
      <c r="K102" s="2"/>
    </row>
    <row r="103" spans="1:11" ht="33" x14ac:dyDescent="0.25">
      <c r="A103" s="2">
        <v>92</v>
      </c>
      <c r="B103" s="2" t="s">
        <v>157</v>
      </c>
      <c r="C103" s="4" t="s">
        <v>272</v>
      </c>
      <c r="D103" s="22">
        <v>3</v>
      </c>
      <c r="E103" s="8">
        <v>26.31</v>
      </c>
      <c r="F103" s="32">
        <f t="shared" si="5"/>
        <v>125.28571428571429</v>
      </c>
      <c r="G103" s="3">
        <f>9438+9969+10493+8731</f>
        <v>38631</v>
      </c>
      <c r="H103" s="1">
        <f t="shared" si="6"/>
        <v>241.44374999999999</v>
      </c>
      <c r="I103" s="22"/>
      <c r="J103" s="22"/>
      <c r="K103" s="22"/>
    </row>
    <row r="104" spans="1:11" ht="33" x14ac:dyDescent="0.25">
      <c r="A104" s="2">
        <v>93</v>
      </c>
      <c r="B104" s="2" t="s">
        <v>159</v>
      </c>
      <c r="C104" s="4" t="s">
        <v>217</v>
      </c>
      <c r="D104" s="22">
        <v>1</v>
      </c>
      <c r="E104" s="8">
        <v>26.83</v>
      </c>
      <c r="F104" s="32">
        <f t="shared" si="5"/>
        <v>127.76190476190474</v>
      </c>
      <c r="G104" s="3">
        <f>18030+10639</f>
        <v>28669</v>
      </c>
      <c r="H104" s="1">
        <f t="shared" si="6"/>
        <v>179.18125000000001</v>
      </c>
      <c r="I104" s="22"/>
      <c r="J104" s="22"/>
      <c r="K104" s="22"/>
    </row>
    <row r="105" spans="1:11" ht="33" x14ac:dyDescent="0.25">
      <c r="A105" s="2">
        <v>94</v>
      </c>
      <c r="B105" s="2" t="s">
        <v>160</v>
      </c>
      <c r="C105" s="4" t="s">
        <v>216</v>
      </c>
      <c r="D105" s="22">
        <v>2</v>
      </c>
      <c r="E105" s="8">
        <v>29.21</v>
      </c>
      <c r="F105" s="32">
        <f t="shared" si="5"/>
        <v>139.0952380952381</v>
      </c>
      <c r="G105" s="3">
        <f>9644+8593+9978</f>
        <v>28215</v>
      </c>
      <c r="H105" s="1">
        <f t="shared" si="6"/>
        <v>176.34375</v>
      </c>
      <c r="I105" s="22"/>
      <c r="J105" s="22"/>
      <c r="K105" s="22"/>
    </row>
    <row r="106" spans="1:11" ht="33" x14ac:dyDescent="0.25">
      <c r="A106" s="2">
        <v>95</v>
      </c>
      <c r="B106" s="2" t="s">
        <v>161</v>
      </c>
      <c r="C106" s="4" t="s">
        <v>274</v>
      </c>
      <c r="D106" s="22">
        <v>2</v>
      </c>
      <c r="E106" s="8">
        <v>32.700000000000003</v>
      </c>
      <c r="F106" s="32">
        <f t="shared" si="5"/>
        <v>155.71428571428575</v>
      </c>
      <c r="G106" s="3">
        <f>18487+8232+6265</f>
        <v>32984</v>
      </c>
      <c r="H106" s="1">
        <f t="shared" si="6"/>
        <v>206.15</v>
      </c>
      <c r="I106" s="22"/>
      <c r="J106" s="22"/>
      <c r="K106" s="22"/>
    </row>
    <row r="107" spans="1:11" ht="33" x14ac:dyDescent="0.25">
      <c r="A107" s="2">
        <v>96</v>
      </c>
      <c r="B107" s="2" t="s">
        <v>162</v>
      </c>
      <c r="C107" s="4" t="s">
        <v>244</v>
      </c>
      <c r="D107" s="22">
        <v>2</v>
      </c>
      <c r="E107" s="8">
        <v>28.1</v>
      </c>
      <c r="F107" s="32">
        <f t="shared" si="5"/>
        <v>133.80952380952382</v>
      </c>
      <c r="G107" s="3">
        <f>7309+8015+15635</f>
        <v>30959</v>
      </c>
      <c r="H107" s="1">
        <f t="shared" si="6"/>
        <v>193.49375000000001</v>
      </c>
      <c r="I107" s="22"/>
      <c r="J107" s="22"/>
      <c r="K107" s="22"/>
    </row>
    <row r="108" spans="1:11" ht="33" x14ac:dyDescent="0.25">
      <c r="A108" s="2">
        <v>97</v>
      </c>
      <c r="B108" s="2" t="s">
        <v>163</v>
      </c>
      <c r="C108" s="4" t="s">
        <v>273</v>
      </c>
      <c r="D108" s="22">
        <v>2</v>
      </c>
      <c r="E108" s="8">
        <v>32.39</v>
      </c>
      <c r="F108" s="32">
        <f t="shared" si="5"/>
        <v>154.23809523809524</v>
      </c>
      <c r="G108" s="3">
        <f>11013+11276+8667</f>
        <v>30956</v>
      </c>
      <c r="H108" s="1">
        <f t="shared" si="6"/>
        <v>193.47499999999999</v>
      </c>
      <c r="I108" s="22"/>
      <c r="J108" s="22"/>
      <c r="K108" s="22"/>
    </row>
    <row r="109" spans="1:11" ht="30" customHeight="1" x14ac:dyDescent="0.25">
      <c r="A109" s="20" t="s">
        <v>164</v>
      </c>
      <c r="B109" s="58" t="s">
        <v>165</v>
      </c>
      <c r="C109" s="58"/>
      <c r="D109" s="29">
        <f>D110+D119+D136</f>
        <v>78</v>
      </c>
      <c r="E109" s="30"/>
      <c r="F109" s="30"/>
      <c r="G109" s="30"/>
      <c r="H109" s="30"/>
      <c r="I109" s="30"/>
      <c r="J109" s="30"/>
      <c r="K109" s="30"/>
    </row>
    <row r="110" spans="1:11" ht="30" customHeight="1" x14ac:dyDescent="0.25">
      <c r="A110" s="20" t="s">
        <v>92</v>
      </c>
      <c r="B110" s="58" t="s">
        <v>93</v>
      </c>
      <c r="C110" s="58"/>
      <c r="D110" s="29">
        <f>SUM(D111:D118)</f>
        <v>29</v>
      </c>
      <c r="E110" s="30"/>
      <c r="F110" s="30"/>
      <c r="G110" s="30"/>
      <c r="H110" s="30"/>
      <c r="I110" s="30"/>
      <c r="J110" s="30"/>
      <c r="K110" s="30"/>
    </row>
    <row r="111" spans="1:11" ht="49.5" x14ac:dyDescent="0.25">
      <c r="A111" s="22">
        <v>1</v>
      </c>
      <c r="B111" s="2" t="s">
        <v>68</v>
      </c>
      <c r="C111" s="4" t="s">
        <v>198</v>
      </c>
      <c r="D111" s="22">
        <v>4</v>
      </c>
      <c r="E111" s="8">
        <v>84.96</v>
      </c>
      <c r="F111" s="8">
        <f>E111/5.5*100</f>
        <v>1544.7272727272725</v>
      </c>
      <c r="G111" s="23">
        <v>46648</v>
      </c>
      <c r="H111" s="8">
        <f>G111/21000*100</f>
        <v>222.13333333333333</v>
      </c>
      <c r="I111" s="22"/>
      <c r="J111" s="22"/>
      <c r="K111" s="22"/>
    </row>
    <row r="112" spans="1:11" ht="49.5" x14ac:dyDescent="0.25">
      <c r="A112" s="22">
        <v>2</v>
      </c>
      <c r="B112" s="2" t="s">
        <v>54</v>
      </c>
      <c r="C112" s="4" t="s">
        <v>51</v>
      </c>
      <c r="D112" s="22">
        <v>10</v>
      </c>
      <c r="E112" s="8">
        <v>53.72</v>
      </c>
      <c r="F112" s="8">
        <f t="shared" ref="F112:F118" si="17">E112/5.5*100</f>
        <v>976.72727272727275</v>
      </c>
      <c r="G112" s="23">
        <v>148406</v>
      </c>
      <c r="H112" s="8">
        <f t="shared" ref="H112:H118" si="18">G112/21000*100</f>
        <v>706.6952380952381</v>
      </c>
      <c r="I112" s="22"/>
      <c r="J112" s="22"/>
      <c r="K112" s="22"/>
    </row>
    <row r="113" spans="1:11" ht="33" x14ac:dyDescent="0.25">
      <c r="A113" s="22">
        <v>3</v>
      </c>
      <c r="B113" s="2" t="s">
        <v>69</v>
      </c>
      <c r="C113" s="4" t="s">
        <v>275</v>
      </c>
      <c r="D113" s="22">
        <v>4</v>
      </c>
      <c r="E113" s="8">
        <v>54.3</v>
      </c>
      <c r="F113" s="8">
        <f t="shared" si="17"/>
        <v>987.27272727272725</v>
      </c>
      <c r="G113" s="23">
        <v>53514</v>
      </c>
      <c r="H113" s="8">
        <f t="shared" si="18"/>
        <v>254.82857142857145</v>
      </c>
      <c r="I113" s="22"/>
      <c r="J113" s="22"/>
      <c r="K113" s="22"/>
    </row>
    <row r="114" spans="1:11" ht="33" x14ac:dyDescent="0.25">
      <c r="A114" s="22">
        <v>4</v>
      </c>
      <c r="B114" s="2" t="s">
        <v>70</v>
      </c>
      <c r="C114" s="4" t="s">
        <v>22</v>
      </c>
      <c r="D114" s="22">
        <v>3</v>
      </c>
      <c r="E114" s="8">
        <v>25.62</v>
      </c>
      <c r="F114" s="8">
        <f t="shared" si="17"/>
        <v>465.81818181818181</v>
      </c>
      <c r="G114" s="23">
        <v>34414</v>
      </c>
      <c r="H114" s="8">
        <f t="shared" si="18"/>
        <v>163.87619047619049</v>
      </c>
      <c r="I114" s="22"/>
      <c r="J114" s="22"/>
      <c r="K114" s="22"/>
    </row>
    <row r="115" spans="1:11" ht="33" x14ac:dyDescent="0.25">
      <c r="A115" s="22">
        <v>5</v>
      </c>
      <c r="B115" s="2" t="s">
        <v>57</v>
      </c>
      <c r="C115" s="4" t="s">
        <v>276</v>
      </c>
      <c r="D115" s="22">
        <v>2</v>
      </c>
      <c r="E115" s="8">
        <v>41.2</v>
      </c>
      <c r="F115" s="8">
        <f t="shared" si="17"/>
        <v>749.09090909090912</v>
      </c>
      <c r="G115" s="23">
        <v>26845</v>
      </c>
      <c r="H115" s="8">
        <f t="shared" si="18"/>
        <v>127.83333333333333</v>
      </c>
      <c r="I115" s="22"/>
      <c r="J115" s="22"/>
      <c r="K115" s="22"/>
    </row>
    <row r="116" spans="1:11" ht="33" x14ac:dyDescent="0.25">
      <c r="A116" s="22">
        <v>6</v>
      </c>
      <c r="B116" s="2" t="s">
        <v>56</v>
      </c>
      <c r="C116" s="4" t="s">
        <v>23</v>
      </c>
      <c r="D116" s="22">
        <v>2</v>
      </c>
      <c r="E116" s="8">
        <v>35.86</v>
      </c>
      <c r="F116" s="8">
        <f>E116/5.5*100</f>
        <v>652</v>
      </c>
      <c r="G116" s="23">
        <v>21196</v>
      </c>
      <c r="H116" s="8">
        <f>G116/21000*100</f>
        <v>100.93333333333334</v>
      </c>
      <c r="I116" s="22"/>
      <c r="J116" s="22"/>
      <c r="K116" s="22"/>
    </row>
    <row r="117" spans="1:11" ht="33" x14ac:dyDescent="0.25">
      <c r="A117" s="22">
        <v>7</v>
      </c>
      <c r="B117" s="2" t="s">
        <v>21</v>
      </c>
      <c r="C117" s="4" t="s">
        <v>277</v>
      </c>
      <c r="D117" s="22">
        <v>2</v>
      </c>
      <c r="E117" s="8">
        <v>38.15</v>
      </c>
      <c r="F117" s="8">
        <f t="shared" si="17"/>
        <v>693.63636363636363</v>
      </c>
      <c r="G117" s="23">
        <v>31539</v>
      </c>
      <c r="H117" s="8">
        <f t="shared" si="18"/>
        <v>150.18571428571428</v>
      </c>
      <c r="I117" s="22"/>
      <c r="J117" s="22"/>
      <c r="K117" s="22"/>
    </row>
    <row r="118" spans="1:11" ht="33" x14ac:dyDescent="0.25">
      <c r="A118" s="22">
        <v>8</v>
      </c>
      <c r="B118" s="2" t="s">
        <v>55</v>
      </c>
      <c r="C118" s="4" t="s">
        <v>278</v>
      </c>
      <c r="D118" s="22">
        <v>2</v>
      </c>
      <c r="E118" s="8">
        <v>29.95</v>
      </c>
      <c r="F118" s="8">
        <f t="shared" si="17"/>
        <v>544.5454545454545</v>
      </c>
      <c r="G118" s="23">
        <v>28405</v>
      </c>
      <c r="H118" s="8">
        <f t="shared" si="18"/>
        <v>135.26190476190476</v>
      </c>
      <c r="I118" s="22"/>
      <c r="J118" s="22"/>
      <c r="K118" s="22"/>
    </row>
    <row r="119" spans="1:11" s="39" customFormat="1" ht="30" customHeight="1" x14ac:dyDescent="0.25">
      <c r="A119" s="20" t="s">
        <v>95</v>
      </c>
      <c r="B119" s="58" t="s">
        <v>96</v>
      </c>
      <c r="C119" s="58"/>
      <c r="D119" s="20">
        <f>SUM(D120:D135)</f>
        <v>31</v>
      </c>
      <c r="E119" s="36"/>
      <c r="F119" s="36"/>
      <c r="G119" s="37"/>
      <c r="H119" s="36"/>
      <c r="I119" s="38"/>
      <c r="J119" s="38"/>
      <c r="K119" s="38"/>
    </row>
    <row r="120" spans="1:11" ht="49.5" x14ac:dyDescent="0.25">
      <c r="A120" s="2">
        <v>9</v>
      </c>
      <c r="B120" s="2" t="s">
        <v>166</v>
      </c>
      <c r="C120" s="4" t="s">
        <v>279</v>
      </c>
      <c r="D120" s="2">
        <v>2</v>
      </c>
      <c r="E120" s="2">
        <v>29.98</v>
      </c>
      <c r="F120" s="1">
        <f>E120/5.5*100</f>
        <v>545.09090909090912</v>
      </c>
      <c r="G120" s="3">
        <v>33343</v>
      </c>
      <c r="H120" s="1">
        <f>G120/21000*100</f>
        <v>158.77619047619046</v>
      </c>
      <c r="I120" s="2"/>
      <c r="J120" s="2"/>
      <c r="K120" s="2"/>
    </row>
    <row r="121" spans="1:11" ht="33" x14ac:dyDescent="0.25">
      <c r="A121" s="2">
        <v>10</v>
      </c>
      <c r="B121" s="2" t="s">
        <v>167</v>
      </c>
      <c r="C121" s="4" t="s">
        <v>249</v>
      </c>
      <c r="D121" s="2">
        <v>2</v>
      </c>
      <c r="E121" s="2">
        <v>11.84</v>
      </c>
      <c r="F121" s="1">
        <f t="shared" ref="F121:F135" si="19">E121/5.5*100</f>
        <v>215.27272727272728</v>
      </c>
      <c r="G121" s="3">
        <v>62893</v>
      </c>
      <c r="H121" s="1">
        <f t="shared" ref="H121:H135" si="20">G121/21000*100</f>
        <v>299.49047619047622</v>
      </c>
      <c r="I121" s="2"/>
      <c r="J121" s="2"/>
      <c r="K121" s="2"/>
    </row>
    <row r="122" spans="1:11" ht="33" x14ac:dyDescent="0.25">
      <c r="A122" s="2">
        <v>11</v>
      </c>
      <c r="B122" s="2" t="s">
        <v>168</v>
      </c>
      <c r="C122" s="4" t="s">
        <v>250</v>
      </c>
      <c r="D122" s="2">
        <v>2</v>
      </c>
      <c r="E122" s="2">
        <v>19.34</v>
      </c>
      <c r="F122" s="1">
        <f t="shared" si="19"/>
        <v>351.63636363636363</v>
      </c>
      <c r="G122" s="3">
        <v>40927</v>
      </c>
      <c r="H122" s="1">
        <f t="shared" si="20"/>
        <v>194.89047619047619</v>
      </c>
      <c r="I122" s="2"/>
      <c r="J122" s="2"/>
      <c r="K122" s="2"/>
    </row>
    <row r="123" spans="1:11" ht="33" x14ac:dyDescent="0.25">
      <c r="A123" s="2">
        <v>12</v>
      </c>
      <c r="B123" s="2" t="s">
        <v>169</v>
      </c>
      <c r="C123" s="4" t="s">
        <v>280</v>
      </c>
      <c r="D123" s="2">
        <v>2</v>
      </c>
      <c r="E123" s="2">
        <v>17.45</v>
      </c>
      <c r="F123" s="1">
        <f t="shared" si="19"/>
        <v>317.27272727272725</v>
      </c>
      <c r="G123" s="3">
        <v>33348</v>
      </c>
      <c r="H123" s="1">
        <f t="shared" si="20"/>
        <v>158.80000000000001</v>
      </c>
      <c r="I123" s="2"/>
      <c r="J123" s="2"/>
      <c r="K123" s="2"/>
    </row>
    <row r="124" spans="1:11" ht="33" x14ac:dyDescent="0.25">
      <c r="A124" s="2">
        <v>13</v>
      </c>
      <c r="B124" s="2" t="s">
        <v>170</v>
      </c>
      <c r="C124" s="4" t="s">
        <v>199</v>
      </c>
      <c r="D124" s="2">
        <v>2</v>
      </c>
      <c r="E124" s="2">
        <v>21.44</v>
      </c>
      <c r="F124" s="1">
        <f t="shared" si="19"/>
        <v>389.81818181818187</v>
      </c>
      <c r="G124" s="3">
        <v>27781</v>
      </c>
      <c r="H124" s="1">
        <f t="shared" si="20"/>
        <v>132.29047619047617</v>
      </c>
      <c r="I124" s="2"/>
      <c r="J124" s="2"/>
      <c r="K124" s="2"/>
    </row>
    <row r="125" spans="1:11" ht="33" x14ac:dyDescent="0.25">
      <c r="A125" s="2">
        <v>14</v>
      </c>
      <c r="B125" s="2" t="s">
        <v>171</v>
      </c>
      <c r="C125" s="4" t="s">
        <v>281</v>
      </c>
      <c r="D125" s="2">
        <v>3</v>
      </c>
      <c r="E125" s="2">
        <v>28.93</v>
      </c>
      <c r="F125" s="1">
        <f t="shared" si="19"/>
        <v>526</v>
      </c>
      <c r="G125" s="3">
        <v>39957</v>
      </c>
      <c r="H125" s="1">
        <f t="shared" si="20"/>
        <v>190.27142857142857</v>
      </c>
      <c r="I125" s="2"/>
      <c r="J125" s="2"/>
      <c r="K125" s="2"/>
    </row>
    <row r="126" spans="1:11" ht="33" x14ac:dyDescent="0.25">
      <c r="A126" s="2">
        <v>15</v>
      </c>
      <c r="B126" s="2" t="s">
        <v>172</v>
      </c>
      <c r="C126" s="4" t="s">
        <v>282</v>
      </c>
      <c r="D126" s="2">
        <v>1</v>
      </c>
      <c r="E126" s="2">
        <v>28.86</v>
      </c>
      <c r="F126" s="1">
        <f t="shared" si="19"/>
        <v>524.72727272727275</v>
      </c>
      <c r="G126" s="3">
        <v>28299</v>
      </c>
      <c r="H126" s="1">
        <f t="shared" si="20"/>
        <v>134.75714285714287</v>
      </c>
      <c r="I126" s="2"/>
      <c r="J126" s="2"/>
      <c r="K126" s="2"/>
    </row>
    <row r="127" spans="1:11" ht="33" x14ac:dyDescent="0.25">
      <c r="A127" s="2">
        <v>16</v>
      </c>
      <c r="B127" s="2" t="s">
        <v>173</v>
      </c>
      <c r="C127" s="4" t="s">
        <v>251</v>
      </c>
      <c r="D127" s="2">
        <v>2</v>
      </c>
      <c r="E127" s="2">
        <v>18.88</v>
      </c>
      <c r="F127" s="1">
        <f t="shared" si="19"/>
        <v>343.27272727272725</v>
      </c>
      <c r="G127" s="3">
        <v>34484</v>
      </c>
      <c r="H127" s="1">
        <f t="shared" si="20"/>
        <v>164.2095238095238</v>
      </c>
      <c r="I127" s="2"/>
      <c r="J127" s="2"/>
      <c r="K127" s="2"/>
    </row>
    <row r="128" spans="1:11" ht="33" x14ac:dyDescent="0.25">
      <c r="A128" s="2">
        <v>17</v>
      </c>
      <c r="B128" s="2" t="s">
        <v>174</v>
      </c>
      <c r="C128" s="4" t="s">
        <v>283</v>
      </c>
      <c r="D128" s="2">
        <v>2</v>
      </c>
      <c r="E128" s="2">
        <v>15.46</v>
      </c>
      <c r="F128" s="1">
        <f t="shared" si="19"/>
        <v>281.09090909090912</v>
      </c>
      <c r="G128" s="3">
        <v>24310</v>
      </c>
      <c r="H128" s="1">
        <f t="shared" si="20"/>
        <v>115.76190476190476</v>
      </c>
      <c r="I128" s="2"/>
      <c r="J128" s="2"/>
      <c r="K128" s="2"/>
    </row>
    <row r="129" spans="1:11" ht="33" x14ac:dyDescent="0.25">
      <c r="A129" s="2">
        <v>18</v>
      </c>
      <c r="B129" s="2" t="s">
        <v>175</v>
      </c>
      <c r="C129" s="4" t="s">
        <v>284</v>
      </c>
      <c r="D129" s="2">
        <v>2</v>
      </c>
      <c r="E129" s="2">
        <v>23.96</v>
      </c>
      <c r="F129" s="1">
        <f t="shared" si="19"/>
        <v>435.63636363636363</v>
      </c>
      <c r="G129" s="3">
        <v>27062</v>
      </c>
      <c r="H129" s="1">
        <f t="shared" si="20"/>
        <v>128.86666666666667</v>
      </c>
      <c r="I129" s="2"/>
      <c r="J129" s="2"/>
      <c r="K129" s="2"/>
    </row>
    <row r="130" spans="1:11" ht="33" x14ac:dyDescent="0.25">
      <c r="A130" s="2">
        <v>19</v>
      </c>
      <c r="B130" s="2" t="s">
        <v>176</v>
      </c>
      <c r="C130" s="4" t="s">
        <v>252</v>
      </c>
      <c r="D130" s="2">
        <v>2</v>
      </c>
      <c r="E130" s="2">
        <v>22.27</v>
      </c>
      <c r="F130" s="1">
        <f t="shared" si="19"/>
        <v>404.90909090909088</v>
      </c>
      <c r="G130" s="3">
        <v>32373</v>
      </c>
      <c r="H130" s="1">
        <f t="shared" si="20"/>
        <v>154.15714285714287</v>
      </c>
      <c r="I130" s="2"/>
      <c r="J130" s="2"/>
      <c r="K130" s="2"/>
    </row>
    <row r="131" spans="1:11" ht="33" x14ac:dyDescent="0.25">
      <c r="A131" s="2">
        <v>20</v>
      </c>
      <c r="B131" s="2" t="s">
        <v>190</v>
      </c>
      <c r="C131" s="4" t="s">
        <v>285</v>
      </c>
      <c r="D131" s="2">
        <v>2</v>
      </c>
      <c r="E131" s="2">
        <v>24.21</v>
      </c>
      <c r="F131" s="1">
        <f t="shared" si="19"/>
        <v>440.18181818181824</v>
      </c>
      <c r="G131" s="3">
        <v>27676</v>
      </c>
      <c r="H131" s="1">
        <f t="shared" si="20"/>
        <v>131.7904761904762</v>
      </c>
      <c r="I131" s="2"/>
      <c r="J131" s="2"/>
      <c r="K131" s="2"/>
    </row>
    <row r="132" spans="1:11" ht="33" x14ac:dyDescent="0.25">
      <c r="A132" s="2">
        <v>21</v>
      </c>
      <c r="B132" s="2" t="s">
        <v>177</v>
      </c>
      <c r="C132" s="4" t="s">
        <v>253</v>
      </c>
      <c r="D132" s="2">
        <v>2</v>
      </c>
      <c r="E132" s="2">
        <v>53.66</v>
      </c>
      <c r="F132" s="1">
        <f t="shared" si="19"/>
        <v>975.63636363636363</v>
      </c>
      <c r="G132" s="3">
        <v>22958</v>
      </c>
      <c r="H132" s="1">
        <f t="shared" si="20"/>
        <v>109.32380952380953</v>
      </c>
      <c r="I132" s="2"/>
      <c r="J132" s="2"/>
      <c r="K132" s="2"/>
    </row>
    <row r="133" spans="1:11" ht="33" x14ac:dyDescent="0.25">
      <c r="A133" s="2">
        <v>22</v>
      </c>
      <c r="B133" s="2" t="s">
        <v>178</v>
      </c>
      <c r="C133" s="4" t="s">
        <v>254</v>
      </c>
      <c r="D133" s="2">
        <v>1</v>
      </c>
      <c r="E133" s="2">
        <v>13.49</v>
      </c>
      <c r="F133" s="1">
        <f t="shared" si="19"/>
        <v>245.27272727272725</v>
      </c>
      <c r="G133" s="3">
        <v>26050</v>
      </c>
      <c r="H133" s="1">
        <f t="shared" si="20"/>
        <v>124.04761904761905</v>
      </c>
      <c r="I133" s="2"/>
      <c r="J133" s="2"/>
      <c r="K133" s="2"/>
    </row>
    <row r="134" spans="1:11" ht="33" x14ac:dyDescent="0.25">
      <c r="A134" s="2">
        <v>23</v>
      </c>
      <c r="B134" s="2" t="s">
        <v>179</v>
      </c>
      <c r="C134" s="4" t="s">
        <v>255</v>
      </c>
      <c r="D134" s="2">
        <v>2</v>
      </c>
      <c r="E134" s="2">
        <v>46.56</v>
      </c>
      <c r="F134" s="1">
        <f t="shared" si="19"/>
        <v>846.54545454545462</v>
      </c>
      <c r="G134" s="3">
        <v>18114</v>
      </c>
      <c r="H134" s="1">
        <f t="shared" si="20"/>
        <v>86.257142857142853</v>
      </c>
      <c r="I134" s="2"/>
      <c r="J134" s="2"/>
      <c r="K134" s="2"/>
    </row>
    <row r="135" spans="1:11" ht="33" x14ac:dyDescent="0.25">
      <c r="A135" s="2">
        <v>24</v>
      </c>
      <c r="B135" s="2" t="s">
        <v>180</v>
      </c>
      <c r="C135" s="5" t="s">
        <v>200</v>
      </c>
      <c r="D135" s="2">
        <v>2</v>
      </c>
      <c r="E135" s="6">
        <v>15.22</v>
      </c>
      <c r="F135" s="1">
        <f t="shared" si="19"/>
        <v>276.72727272727275</v>
      </c>
      <c r="G135" s="7">
        <v>23232</v>
      </c>
      <c r="H135" s="1">
        <f t="shared" si="20"/>
        <v>110.62857142857143</v>
      </c>
      <c r="I135" s="2"/>
      <c r="J135" s="2"/>
      <c r="K135" s="2"/>
    </row>
    <row r="136" spans="1:11" s="31" customFormat="1" ht="33.6" customHeight="1" x14ac:dyDescent="0.25">
      <c r="A136" s="20" t="s">
        <v>117</v>
      </c>
      <c r="B136" s="58" t="s">
        <v>116</v>
      </c>
      <c r="C136" s="58"/>
      <c r="D136" s="20">
        <f>SUM(D137:D144)</f>
        <v>18</v>
      </c>
      <c r="E136" s="40"/>
      <c r="F136" s="40"/>
      <c r="G136" s="41"/>
      <c r="H136" s="40"/>
      <c r="I136" s="20"/>
      <c r="J136" s="20"/>
      <c r="K136" s="20"/>
    </row>
    <row r="137" spans="1:11" ht="49.5" x14ac:dyDescent="0.25">
      <c r="A137" s="2">
        <v>25</v>
      </c>
      <c r="B137" s="2" t="s">
        <v>181</v>
      </c>
      <c r="C137" s="4" t="s">
        <v>293</v>
      </c>
      <c r="D137" s="22">
        <v>7</v>
      </c>
      <c r="E137" s="8">
        <f>1.57+1.89+4.47+1.37+0.96+2.06+1.41+6.18</f>
        <v>19.910000000000004</v>
      </c>
      <c r="F137" s="32">
        <f>E137/5.5*100</f>
        <v>362.00000000000006</v>
      </c>
      <c r="G137" s="3">
        <f>18441+30357+20837+41836+30845+30429+6503+9503</f>
        <v>188751</v>
      </c>
      <c r="H137" s="8">
        <f>G137/21000*100</f>
        <v>898.8142857142858</v>
      </c>
      <c r="I137" s="22"/>
      <c r="J137" s="22"/>
      <c r="K137" s="22"/>
    </row>
    <row r="138" spans="1:11" ht="33" x14ac:dyDescent="0.25">
      <c r="A138" s="2">
        <v>26</v>
      </c>
      <c r="B138" s="2" t="s">
        <v>182</v>
      </c>
      <c r="C138" s="4" t="s">
        <v>286</v>
      </c>
      <c r="D138" s="2">
        <v>2</v>
      </c>
      <c r="E138" s="8">
        <f>3.4+10.28+6.85</f>
        <v>20.53</v>
      </c>
      <c r="F138" s="32">
        <f t="shared" ref="F138:F144" si="21">E138/5.5*100</f>
        <v>373.27272727272731</v>
      </c>
      <c r="G138" s="3">
        <f>12580+12418+6033</f>
        <v>31031</v>
      </c>
      <c r="H138" s="8">
        <f t="shared" ref="H138:H144" si="22">G138/21000*100</f>
        <v>147.76666666666668</v>
      </c>
      <c r="I138" s="2"/>
      <c r="J138" s="2"/>
      <c r="K138" s="2"/>
    </row>
    <row r="139" spans="1:11" ht="33" x14ac:dyDescent="0.25">
      <c r="A139" s="2">
        <v>27</v>
      </c>
      <c r="B139" s="2" t="s">
        <v>191</v>
      </c>
      <c r="C139" s="4" t="s">
        <v>287</v>
      </c>
      <c r="D139" s="2">
        <v>2</v>
      </c>
      <c r="E139" s="8">
        <f>6.43+7.47+8.17</f>
        <v>22.07</v>
      </c>
      <c r="F139" s="32">
        <f t="shared" si="21"/>
        <v>401.27272727272725</v>
      </c>
      <c r="G139" s="3">
        <f>12788+9954+9060</f>
        <v>31802</v>
      </c>
      <c r="H139" s="8">
        <f>G139/21000*100</f>
        <v>151.43809523809523</v>
      </c>
      <c r="I139" s="2"/>
      <c r="J139" s="2"/>
      <c r="K139" s="2"/>
    </row>
    <row r="140" spans="1:11" ht="33" x14ac:dyDescent="0.25">
      <c r="A140" s="2">
        <v>28</v>
      </c>
      <c r="B140" s="2" t="s">
        <v>183</v>
      </c>
      <c r="C140" s="4" t="s">
        <v>288</v>
      </c>
      <c r="D140" s="2">
        <v>1</v>
      </c>
      <c r="E140" s="8">
        <f>6.58+18.69</f>
        <v>25.270000000000003</v>
      </c>
      <c r="F140" s="32">
        <f t="shared" si="21"/>
        <v>459.4545454545455</v>
      </c>
      <c r="G140" s="3">
        <f>9253+26957</f>
        <v>36210</v>
      </c>
      <c r="H140" s="8">
        <f t="shared" si="22"/>
        <v>172.42857142857142</v>
      </c>
      <c r="I140" s="2"/>
      <c r="J140" s="2"/>
      <c r="K140" s="2"/>
    </row>
    <row r="141" spans="1:11" ht="33" x14ac:dyDescent="0.25">
      <c r="A141" s="2">
        <v>29</v>
      </c>
      <c r="B141" s="2" t="s">
        <v>184</v>
      </c>
      <c r="C141" s="4" t="s">
        <v>289</v>
      </c>
      <c r="D141" s="2">
        <v>1</v>
      </c>
      <c r="E141" s="8">
        <f>6.22+9.81</f>
        <v>16.03</v>
      </c>
      <c r="F141" s="32">
        <f t="shared" si="21"/>
        <v>291.45454545454544</v>
      </c>
      <c r="G141" s="3">
        <f>22203+8627</f>
        <v>30830</v>
      </c>
      <c r="H141" s="8">
        <f t="shared" si="22"/>
        <v>146.80952380952382</v>
      </c>
      <c r="I141" s="2"/>
      <c r="J141" s="2"/>
      <c r="K141" s="2"/>
    </row>
    <row r="142" spans="1:11" ht="33" x14ac:dyDescent="0.25">
      <c r="A142" s="2">
        <v>30</v>
      </c>
      <c r="B142" s="2" t="s">
        <v>185</v>
      </c>
      <c r="C142" s="4" t="s">
        <v>290</v>
      </c>
      <c r="D142" s="2">
        <v>1</v>
      </c>
      <c r="E142" s="8">
        <f>4.44+27.06</f>
        <v>31.5</v>
      </c>
      <c r="F142" s="32">
        <f t="shared" si="21"/>
        <v>572.72727272727275</v>
      </c>
      <c r="G142" s="3">
        <f>37109+32879</f>
        <v>69988</v>
      </c>
      <c r="H142" s="8">
        <f t="shared" si="22"/>
        <v>333.27619047619044</v>
      </c>
      <c r="I142" s="2"/>
      <c r="J142" s="2"/>
      <c r="K142" s="2"/>
    </row>
    <row r="143" spans="1:11" ht="33" x14ac:dyDescent="0.25">
      <c r="A143" s="2">
        <v>31</v>
      </c>
      <c r="B143" s="2" t="s">
        <v>186</v>
      </c>
      <c r="C143" s="4" t="s">
        <v>291</v>
      </c>
      <c r="D143" s="2">
        <v>2</v>
      </c>
      <c r="E143" s="8">
        <f>5.62+11.32+10.59</f>
        <v>27.53</v>
      </c>
      <c r="F143" s="32">
        <f t="shared" si="21"/>
        <v>500.54545454545456</v>
      </c>
      <c r="G143" s="3">
        <f>7706+12285+15793</f>
        <v>35784</v>
      </c>
      <c r="H143" s="8">
        <f t="shared" si="22"/>
        <v>170.4</v>
      </c>
      <c r="I143" s="2"/>
      <c r="J143" s="2"/>
      <c r="K143" s="2"/>
    </row>
    <row r="144" spans="1:11" ht="33" x14ac:dyDescent="0.25">
      <c r="A144" s="2">
        <v>32</v>
      </c>
      <c r="B144" s="2" t="s">
        <v>187</v>
      </c>
      <c r="C144" s="4" t="s">
        <v>292</v>
      </c>
      <c r="D144" s="2">
        <v>2</v>
      </c>
      <c r="E144" s="8">
        <f>9.97+8.65+16.92</f>
        <v>35.540000000000006</v>
      </c>
      <c r="F144" s="32">
        <f t="shared" si="21"/>
        <v>646.18181818181824</v>
      </c>
      <c r="G144" s="3">
        <f>14026+7961+16081</f>
        <v>38068</v>
      </c>
      <c r="H144" s="8">
        <f t="shared" si="22"/>
        <v>181.27619047619049</v>
      </c>
      <c r="I144" s="2"/>
      <c r="J144" s="2"/>
      <c r="K144" s="2"/>
    </row>
    <row r="145" spans="1:11" ht="17.25" x14ac:dyDescent="0.25">
      <c r="A145" s="55" t="s">
        <v>14</v>
      </c>
      <c r="B145" s="56"/>
      <c r="C145" s="42"/>
      <c r="D145" s="43"/>
      <c r="E145" s="44"/>
      <c r="F145" s="44"/>
    </row>
    <row r="146" spans="1:11" ht="50.45" customHeight="1" x14ac:dyDescent="0.25">
      <c r="A146" s="46" t="s">
        <v>201</v>
      </c>
      <c r="B146" s="47"/>
      <c r="C146" s="47"/>
      <c r="D146" s="47"/>
      <c r="E146" s="47"/>
      <c r="F146" s="47"/>
      <c r="G146" s="47"/>
      <c r="H146" s="47"/>
      <c r="I146" s="47"/>
      <c r="J146" s="47"/>
      <c r="K146" s="47"/>
    </row>
  </sheetData>
  <mergeCells count="22">
    <mergeCell ref="A1:K1"/>
    <mergeCell ref="B119:C119"/>
    <mergeCell ref="B136:C136"/>
    <mergeCell ref="B9:C9"/>
    <mergeCell ref="B8:C8"/>
    <mergeCell ref="B41:C41"/>
    <mergeCell ref="B59:C59"/>
    <mergeCell ref="B109:C109"/>
    <mergeCell ref="A146:K146"/>
    <mergeCell ref="A2:K2"/>
    <mergeCell ref="A3:K3"/>
    <mergeCell ref="G5:H5"/>
    <mergeCell ref="I5:I6"/>
    <mergeCell ref="J5:J6"/>
    <mergeCell ref="K5:K6"/>
    <mergeCell ref="A5:A6"/>
    <mergeCell ref="B5:B6"/>
    <mergeCell ref="C5:C6"/>
    <mergeCell ref="D5:D6"/>
    <mergeCell ref="E5:F5"/>
    <mergeCell ref="A145:B145"/>
    <mergeCell ref="B110:C110"/>
  </mergeCells>
  <phoneticPr fontId="1" type="noConversion"/>
  <printOptions horizontalCentered="1"/>
  <pageMargins left="0.196850393700787" right="0.196850393700787" top="0.59055118110236204" bottom="0.39370078740157499" header="0" footer="0"/>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Phụ lục 2.3</vt:lpstr>
      <vt:lpstr>'Phụ lục 2.3'!Print_Area</vt:lpstr>
      <vt:lpstr>'Phụ lục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Thảo Như</dc:creator>
  <cp:lastModifiedBy>Admin</cp:lastModifiedBy>
  <cp:lastPrinted>2025-05-02T16:07:46Z</cp:lastPrinted>
  <dcterms:created xsi:type="dcterms:W3CDTF">2025-04-17T19:41:09Z</dcterms:created>
  <dcterms:modified xsi:type="dcterms:W3CDTF">2025-05-03T11:19:36Z</dcterms:modified>
</cp:coreProperties>
</file>